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5" yWindow="-15" windowWidth="28860" windowHeight="6420" tabRatio="606" firstSheet="1" activeTab="36"/>
  </bookViews>
  <sheets>
    <sheet name="Лог обновления" sheetId="210" state="veryHidden" r:id="rId1"/>
    <sheet name="январь" sheetId="294" r:id="rId2"/>
    <sheet name="Statistic" sheetId="295" state="veryHidden" r:id="rId3"/>
    <sheet name="TEHSHEET" sheetId="123" state="veryHidden" r:id="rId4"/>
    <sheet name="et_union" sheetId="242" state="veryHidden" r:id="rId5"/>
    <sheet name="AllSheetsInThisWorkbook" sheetId="158" state="veryHidden" r:id="rId6"/>
    <sheet name="mod_01" sheetId="303" state="veryHidden" r:id="rId7"/>
    <sheet name="mod_11" sheetId="265" state="veryHidden" r:id="rId8"/>
    <sheet name="modComm" sheetId="292" state="veryHidden" r:id="rId9"/>
    <sheet name="modListProv" sheetId="302" state="veryHidden" r:id="rId10"/>
    <sheet name="modButton" sheetId="217" state="veryHidden" r:id="rId11"/>
    <sheet name="modInstruction" sheetId="298" state="veryHidden" r:id="rId12"/>
    <sheet name="modHTTP" sheetId="299" state="veryHidden" r:id="rId13"/>
    <sheet name="REESTR_ORG" sheetId="159" state="veryHidden" r:id="rId14"/>
    <sheet name="REESTR_FIL" sheetId="304" state="veryHidden" r:id="rId15"/>
    <sheet name="REESTR_MO" sheetId="161" state="veryHidden" r:id="rId16"/>
    <sheet name="REESTR_EGRUL" sheetId="307" state="veryHidden" r:id="rId17"/>
    <sheet name="modfrmRegion" sheetId="297" state="veryHidden" r:id="rId18"/>
    <sheet name="modfrmReestr" sheetId="162" state="veryHidden" r:id="rId19"/>
    <sheet name="modfrmFindEGRUL" sheetId="306" state="veryHidden" r:id="rId20"/>
    <sheet name="modfrmCheckUpdates" sheetId="296" state="veryHidden" r:id="rId21"/>
    <sheet name="modReestr" sheetId="164" state="veryHidden" r:id="rId22"/>
    <sheet name="modUpdTemplMain" sheetId="212" state="veryHidden" r:id="rId23"/>
    <sheet name="modHyperlink" sheetId="245" state="veryHidden" r:id="rId24"/>
    <sheet name="modClassifierValidate" sheetId="305" state="veryHidden" r:id="rId25"/>
    <sheet name="февраль" sheetId="308" r:id="rId26"/>
    <sheet name="март" sheetId="309" r:id="rId27"/>
    <sheet name="апрель" sheetId="310" r:id="rId28"/>
    <sheet name="май" sheetId="311" r:id="rId29"/>
    <sheet name="июнь" sheetId="312" r:id="rId30"/>
    <sheet name="июль" sheetId="313" r:id="rId31"/>
    <sheet name="август" sheetId="314" r:id="rId32"/>
    <sheet name="сентябрь" sheetId="315" r:id="rId33"/>
    <sheet name="октябрь" sheetId="318" r:id="rId34"/>
    <sheet name="ноябрь" sheetId="319" r:id="rId35"/>
    <sheet name="декабрь" sheetId="320" r:id="rId36"/>
    <sheet name="год" sheetId="321" r:id="rId37"/>
  </sheets>
  <externalReferences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IDОтчета">178174</definedName>
    <definedName name="_IDШаблона">178176</definedName>
    <definedName name="activity" localSheetId="32">#REF!</definedName>
    <definedName name="activity">#REF!</definedName>
    <definedName name="add_11_1">январь!$E$19</definedName>
    <definedName name="add_11_2">январь!$E$22</definedName>
    <definedName name="add_11_3">январь!$E$27</definedName>
    <definedName name="add_11_4">январь!$E$43</definedName>
    <definedName name="add_11_5">январь!$E$58</definedName>
    <definedName name="add_11_6">январь!$E$61</definedName>
    <definedName name="add_11_7">январь!$E$66</definedName>
    <definedName name="add_11_8">январь!$E$82</definedName>
    <definedName name="add_com" localSheetId="32">#REF!</definedName>
    <definedName name="add_com">#REF!</definedName>
    <definedName name="anscount" hidden="1">1</definedName>
    <definedName name="chkGetUpdatesValue" localSheetId="32">#REF!</definedName>
    <definedName name="chkGetUpdatesValue">#REF!</definedName>
    <definedName name="chkNoUpdatesValue" localSheetId="32">#REF!</definedName>
    <definedName name="chkNoUpdatesValue">#REF!</definedName>
    <definedName name="code" localSheetId="32">#REF!</definedName>
    <definedName name="code">#REF!</definedName>
    <definedName name="DaNet">TEHSHEET!$F$2:$F$3</definedName>
    <definedName name="date_expired" localSheetId="32">#REF!</definedName>
    <definedName name="date_expired">#REF!</definedName>
    <definedName name="doc_link" localSheetId="32">#REF!</definedName>
    <definedName name="doc_link">#REF!</definedName>
    <definedName name="ENTITY_UL">REESTR_EGRUL!$A$2:$L$33</definedName>
    <definedName name="et_com">et_union!$3:$3</definedName>
    <definedName name="et_org">et_union!$5:$5</definedName>
    <definedName name="FirstLine" localSheetId="32">#REF!</definedName>
    <definedName name="FirstLine">#REF!</definedName>
    <definedName name="flag_org" localSheetId="32">#REF!</definedName>
    <definedName name="flag_org">#REF!</definedName>
    <definedName name="god" localSheetId="32">#REF!</definedName>
    <definedName name="god">#REF!</definedName>
    <definedName name="inn" localSheetId="32">#REF!</definedName>
    <definedName name="inn">#REF!</definedName>
    <definedName name="Instr_1" localSheetId="32">#REF!</definedName>
    <definedName name="Instr_1">#REF!</definedName>
    <definedName name="Instr_2" localSheetId="32">#REF!</definedName>
    <definedName name="Instr_2">#REF!</definedName>
    <definedName name="Instr_3" localSheetId="32">#REF!</definedName>
    <definedName name="Instr_3">#REF!</definedName>
    <definedName name="Instr_4" localSheetId="32">#REF!</definedName>
    <definedName name="Instr_4">#REF!</definedName>
    <definedName name="Instr_5" localSheetId="32">#REF!</definedName>
    <definedName name="Instr_5">#REF!</definedName>
    <definedName name="Instr_6" localSheetId="32">#REF!</definedName>
    <definedName name="Instr_6">#REF!</definedName>
    <definedName name="Instr_7" localSheetId="32">#REF!</definedName>
    <definedName name="Instr_7">#REF!</definedName>
    <definedName name="Instr_8" localSheetId="32">#REF!</definedName>
    <definedName name="Instr_8">#REF!</definedName>
    <definedName name="instr_hyp1" localSheetId="32">#REF!</definedName>
    <definedName name="instr_hyp1">#REF!</definedName>
    <definedName name="instr_hyp5" localSheetId="32">#REF!</definedName>
    <definedName name="instr_hyp5">#REF!</definedName>
    <definedName name="kod_stroki_1">январь!$F$15:$F$52</definedName>
    <definedName name="kod_stroki_2">январь!$F$54:$F$91</definedName>
    <definedName name="kotel" localSheetId="32">#REF!</definedName>
    <definedName name="kotel">#REF!</definedName>
    <definedName name="kpp" localSheetId="32">#REF!</definedName>
    <definedName name="kpp">#REF!</definedName>
    <definedName name="ks_1730">январь!$F$74</definedName>
    <definedName name="ks_1750">январь!$F$76</definedName>
    <definedName name="ks_1760">январь!$F$77</definedName>
    <definedName name="ks_2020">январь!$F$87</definedName>
    <definedName name="ks_2130">январь!$F$100</definedName>
    <definedName name="ks_2340">январь!$F$121</definedName>
    <definedName name="ks_2450">январь!$F$133</definedName>
    <definedName name="ks_2550">январь!$F$143</definedName>
    <definedName name="ks_700">январь!$F$35</definedName>
    <definedName name="ks_720">январь!$F$37</definedName>
    <definedName name="ks_730">январь!$F$38</definedName>
    <definedName name="ks_990">январь!$F$48</definedName>
    <definedName name="LastUpdateDate_MO" localSheetId="32">#REF!</definedName>
    <definedName name="LastUpdateDate_MO">#REF!</definedName>
    <definedName name="LastUpdateDate_ORG" localSheetId="32">#REF!</definedName>
    <definedName name="LastUpdateDate_ORG">#REF!</definedName>
    <definedName name="LIST_MR_MO_OKTMO">REESTR_MO!$A$1:$D$427</definedName>
    <definedName name="logic">TEHSHEET!$F$2:$F$3</definedName>
    <definedName name="mo" localSheetId="32">#REF!</definedName>
    <definedName name="mo">#REF!</definedName>
    <definedName name="MO_LIST_10">REESTR_MO!$B$63</definedName>
    <definedName name="MO_LIST_11">REESTR_MO!$B$64</definedName>
    <definedName name="MO_LIST_12">REESTR_MO!$B$65</definedName>
    <definedName name="MO_LIST_13">REESTR_MO!$B$66</definedName>
    <definedName name="MO_LIST_14">REESTR_MO!$B$67</definedName>
    <definedName name="MO_LIST_15">REESTR_MO!$B$68:$B$83</definedName>
    <definedName name="MO_LIST_16">REESTR_MO!$B$84:$B$94</definedName>
    <definedName name="MO_LIST_17">REESTR_MO!$B$95:$B$106</definedName>
    <definedName name="MO_LIST_18">REESTR_MO!$B$107:$B$116</definedName>
    <definedName name="MO_LIST_19">REESTR_MO!$B$117:$B$125</definedName>
    <definedName name="MO_LIST_2">REESTR_MO!$B$2:$B$10</definedName>
    <definedName name="MO_LIST_20">REESTR_MO!$B$126:$B$135</definedName>
    <definedName name="MO_LIST_21">REESTR_MO!$B$136:$B$146</definedName>
    <definedName name="MO_LIST_22">REESTR_MO!$B$147:$B$157</definedName>
    <definedName name="MO_LIST_23">REESTR_MO!$B$158:$B$164</definedName>
    <definedName name="MO_LIST_24">REESTR_MO!$B$165:$B$176</definedName>
    <definedName name="MO_LIST_25">REESTR_MO!$B$177:$B$187</definedName>
    <definedName name="MO_LIST_26">REESTR_MO!$B$188:$B$200</definedName>
    <definedName name="MO_LIST_27">REESTR_MO!$B$201:$B$214</definedName>
    <definedName name="MO_LIST_28">REESTR_MO!$B$215:$B$227</definedName>
    <definedName name="MO_LIST_29">REESTR_MO!$B$228:$B$242</definedName>
    <definedName name="MO_LIST_3">REESTR_MO!$B$11:$B$23</definedName>
    <definedName name="MO_LIST_30">REESTR_MO!$B$243:$B$252</definedName>
    <definedName name="MO_LIST_31">REESTR_MO!$B$253:$B$261</definedName>
    <definedName name="MO_LIST_32">REESTR_MO!$B$262:$B$276</definedName>
    <definedName name="MO_LIST_33">REESTR_MO!$B$277:$B$288</definedName>
    <definedName name="MO_LIST_34">REESTR_MO!$B$289:$B$298</definedName>
    <definedName name="MO_LIST_35">REESTR_MO!$B$299:$B$311</definedName>
    <definedName name="MO_LIST_36">REESTR_MO!$B$312:$B$327</definedName>
    <definedName name="MO_LIST_37">REESTR_MO!$B$328:$B$333</definedName>
    <definedName name="MO_LIST_38">REESTR_MO!$B$334:$B$342</definedName>
    <definedName name="MO_LIST_39">REESTR_MO!$B$343:$B$355</definedName>
    <definedName name="MO_LIST_4">REESTR_MO!$B$24:$B$28</definedName>
    <definedName name="MO_LIST_40">REESTR_MO!$B$356:$B$366</definedName>
    <definedName name="MO_LIST_41">REESTR_MO!$B$367:$B$380</definedName>
    <definedName name="MO_LIST_42">REESTR_MO!$B$381:$B$391</definedName>
    <definedName name="MO_LIST_43">REESTR_MO!$B$392:$B$402</definedName>
    <definedName name="MO_LIST_44">REESTR_MO!$B$403:$B$418</definedName>
    <definedName name="MO_LIST_45">REESTR_MO!$B$419:$B$427</definedName>
    <definedName name="MO_LIST_5">REESTR_MO!$B$29:$B$40</definedName>
    <definedName name="MO_LIST_6">REESTR_MO!$B$41:$B$49</definedName>
    <definedName name="MO_LIST_7">REESTR_MO!$B$50:$B$60</definedName>
    <definedName name="MO_LIST_8">REESTR_MO!$B$61</definedName>
    <definedName name="MO_LIST_9">REESTR_MO!$B$62</definedName>
    <definedName name="MONTH">TEHSHEET!$D$2:$D$14</definedName>
    <definedName name="mr" localSheetId="32">#REF!</definedName>
    <definedName name="mr">#REF!</definedName>
    <definedName name="MR_LIST">REESTR_MO!$E$2:$E$45</definedName>
    <definedName name="MSG_URL">TEHSHEET!$D$25</definedName>
    <definedName name="nds" localSheetId="32">#REF!</definedName>
    <definedName name="nds">#REF!</definedName>
    <definedName name="nds_rate_index" localSheetId="32">#REF!</definedName>
    <definedName name="nds_rate_index">#REF!</definedName>
    <definedName name="okato" localSheetId="32">#REF!</definedName>
    <definedName name="okato">#REF!</definedName>
    <definedName name="okpo" localSheetId="32">#REF!</definedName>
    <definedName name="okpo">#REF!</definedName>
    <definedName name="oktmo" localSheetId="32">#REF!</definedName>
    <definedName name="oktmo">#REF!</definedName>
    <definedName name="OKTMO_TYPE_LIST">REESTR_MO!$C$2:$D$428</definedName>
    <definedName name="org" localSheetId="32">#REF!</definedName>
    <definedName name="org">#REF!</definedName>
    <definedName name="Org_Address" localSheetId="32">#REF!</definedName>
    <definedName name="Org_Address">#REF!</definedName>
    <definedName name="Org_buh" localSheetId="32">#REF!</definedName>
    <definedName name="Org_buh">#REF!</definedName>
    <definedName name="Org_otv_lico" localSheetId="32">#REF!</definedName>
    <definedName name="Org_otv_lico">#REF!</definedName>
    <definedName name="Org_ruk" localSheetId="32">#REF!</definedName>
    <definedName name="Org_ruk">#REF!</definedName>
    <definedName name="OVERDUE_INTERVAL" localSheetId="32">#REF!</definedName>
    <definedName name="OVERDUE_INTERVAL">#REF!</definedName>
    <definedName name="pDel_Comm" localSheetId="32">#REF!</definedName>
    <definedName name="pDel_Comm">#REF!</definedName>
    <definedName name="REESTR_ORG_RANGE">REESTR_ORG!$A$2:$S$177</definedName>
    <definedName name="REGION">TEHSHEET!$B$1:$B$86</definedName>
    <definedName name="region_name" localSheetId="32">#REF!</definedName>
    <definedName name="region_name">#REF!</definedName>
    <definedName name="rstOrgId" localSheetId="32">#REF!</definedName>
    <definedName name="rstOrgId">#REF!</definedName>
    <definedName name="SAPBEXrevision" hidden="1">1</definedName>
    <definedName name="SAPBEXsysID" hidden="1">"BW2"</definedName>
    <definedName name="SAPBEXwbID" hidden="1">"479GSPMTNK9HM4ZSIVE5K2SH6"</definedName>
    <definedName name="start_11_1">январь!$E$18</definedName>
    <definedName name="start_11_2">январь!$E$21</definedName>
    <definedName name="start_11_3">январь!$E$24</definedName>
    <definedName name="start_11_4">январь!$E$41</definedName>
    <definedName name="start_11_5">январь!$E$57</definedName>
    <definedName name="start_11_6">январь!$E$60</definedName>
    <definedName name="start_11_7">январь!$E$63</definedName>
    <definedName name="start_11_8">январь!$E$80</definedName>
    <definedName name="tit_month" localSheetId="32">#REF!</definedName>
    <definedName name="tit_month">#REF!</definedName>
    <definedName name="tit_stat_work_place" localSheetId="32">#REF!</definedName>
    <definedName name="tit_stat_work_place">#REF!</definedName>
    <definedName name="tit_type_report" localSheetId="32">#REF!</definedName>
    <definedName name="tit_type_report">#REF!</definedName>
    <definedName name="type_report">TEHSHEET!$G$2:$G$3</definedName>
    <definedName name="UpdStatus" localSheetId="32">#REF!</definedName>
    <definedName name="UpdStatus">#REF!</definedName>
    <definedName name="URL_FORMAT">TEHSHEET!$D$23</definedName>
    <definedName name="version" localSheetId="32">#REF!</definedName>
    <definedName name="version">#REF!</definedName>
    <definedName name="YEAR">TEHSHEET!$E$2:$E$6</definedName>
  </definedNames>
  <calcPr calcId="145621"/>
</workbook>
</file>

<file path=xl/calcChain.xml><?xml version="1.0" encoding="utf-8"?>
<calcChain xmlns="http://schemas.openxmlformats.org/spreadsheetml/2006/main">
  <c r="J128" i="308" l="1"/>
  <c r="J128" i="294"/>
  <c r="J151" i="321"/>
  <c r="H151" i="321"/>
  <c r="H149" i="321"/>
  <c r="H147" i="321"/>
  <c r="H146" i="321"/>
  <c r="H145" i="321"/>
  <c r="L144" i="321"/>
  <c r="K144" i="321"/>
  <c r="J144" i="321"/>
  <c r="I144" i="321"/>
  <c r="H144" i="321" s="1"/>
  <c r="H143" i="321"/>
  <c r="H142" i="321"/>
  <c r="L141" i="321"/>
  <c r="K141" i="321"/>
  <c r="J141" i="321"/>
  <c r="I141" i="321"/>
  <c r="H141" i="321"/>
  <c r="H140" i="321"/>
  <c r="L139" i="321"/>
  <c r="L138" i="321" s="1"/>
  <c r="K139" i="321"/>
  <c r="J139" i="321"/>
  <c r="J138" i="321" s="1"/>
  <c r="I139" i="321"/>
  <c r="K138" i="321"/>
  <c r="I138" i="321"/>
  <c r="H137" i="321"/>
  <c r="H136" i="321"/>
  <c r="H135" i="321"/>
  <c r="L134" i="321"/>
  <c r="K134" i="321"/>
  <c r="K132" i="321" s="1"/>
  <c r="J134" i="321"/>
  <c r="I134" i="321"/>
  <c r="H134" i="321" s="1"/>
  <c r="H133" i="321"/>
  <c r="L132" i="321"/>
  <c r="J132" i="321"/>
  <c r="I132" i="321"/>
  <c r="I130" i="321"/>
  <c r="I152" i="321" s="1"/>
  <c r="H129" i="321"/>
  <c r="I128" i="321"/>
  <c r="H127" i="321"/>
  <c r="I126" i="321"/>
  <c r="H125" i="321"/>
  <c r="H124" i="321"/>
  <c r="H123" i="321"/>
  <c r="L122" i="321"/>
  <c r="K122" i="321"/>
  <c r="J122" i="321"/>
  <c r="H122" i="321" s="1"/>
  <c r="I122" i="321"/>
  <c r="H121" i="321"/>
  <c r="H120" i="321"/>
  <c r="H119" i="321"/>
  <c r="H118" i="321"/>
  <c r="H117" i="321"/>
  <c r="H116" i="321"/>
  <c r="L115" i="321"/>
  <c r="K115" i="321"/>
  <c r="J115" i="321"/>
  <c r="I115" i="321"/>
  <c r="H115" i="321" s="1"/>
  <c r="H114" i="321"/>
  <c r="H113" i="321"/>
  <c r="L112" i="321"/>
  <c r="K112" i="321"/>
  <c r="J112" i="321"/>
  <c r="I112" i="321"/>
  <c r="H112" i="321"/>
  <c r="H111" i="321"/>
  <c r="H110" i="321"/>
  <c r="L109" i="321"/>
  <c r="K109" i="321"/>
  <c r="K108" i="321" s="1"/>
  <c r="K106" i="321" s="1"/>
  <c r="K105" i="321" s="1"/>
  <c r="J109" i="321"/>
  <c r="I109" i="321"/>
  <c r="H109" i="321" s="1"/>
  <c r="L108" i="321"/>
  <c r="L106" i="321" s="1"/>
  <c r="L105" i="321" s="1"/>
  <c r="J108" i="321"/>
  <c r="J106" i="321" s="1"/>
  <c r="J105" i="321" s="1"/>
  <c r="H107" i="321"/>
  <c r="H104" i="321"/>
  <c r="H103" i="321"/>
  <c r="H102" i="321"/>
  <c r="L101" i="321"/>
  <c r="K101" i="321"/>
  <c r="J101" i="321"/>
  <c r="I101" i="321"/>
  <c r="H101" i="321" s="1"/>
  <c r="H100" i="321"/>
  <c r="L99" i="321"/>
  <c r="K99" i="321"/>
  <c r="J99" i="321"/>
  <c r="I99" i="321"/>
  <c r="H99" i="321" s="1"/>
  <c r="H97" i="321"/>
  <c r="H96" i="321"/>
  <c r="H95" i="321"/>
  <c r="L91" i="321"/>
  <c r="K91" i="321"/>
  <c r="H91" i="321" s="1"/>
  <c r="J91" i="321"/>
  <c r="H90" i="321"/>
  <c r="L89" i="321"/>
  <c r="L92" i="321" s="1"/>
  <c r="K89" i="321"/>
  <c r="K92" i="321" s="1"/>
  <c r="J89" i="321"/>
  <c r="J92" i="321" s="1"/>
  <c r="I89" i="321"/>
  <c r="I92" i="321" s="1"/>
  <c r="H88" i="321"/>
  <c r="H87" i="321"/>
  <c r="H85" i="321"/>
  <c r="J83" i="321"/>
  <c r="H83" i="321" s="1"/>
  <c r="D83" i="321"/>
  <c r="L81" i="321"/>
  <c r="K81" i="321"/>
  <c r="K75" i="321" s="1"/>
  <c r="I81" i="321"/>
  <c r="H80" i="321"/>
  <c r="H79" i="321"/>
  <c r="L78" i="321"/>
  <c r="K78" i="321"/>
  <c r="J78" i="321"/>
  <c r="H78" i="321" s="1"/>
  <c r="H77" i="321"/>
  <c r="H76" i="321"/>
  <c r="L75" i="321"/>
  <c r="H74" i="321"/>
  <c r="H73" i="321"/>
  <c r="J69" i="321"/>
  <c r="I69" i="321"/>
  <c r="K67" i="321"/>
  <c r="H67" i="321" s="1"/>
  <c r="D67" i="321"/>
  <c r="K66" i="321"/>
  <c r="H66" i="321"/>
  <c r="D66" i="321"/>
  <c r="K65" i="321"/>
  <c r="J65" i="321"/>
  <c r="I65" i="321"/>
  <c r="I63" i="321" s="1"/>
  <c r="D65" i="321"/>
  <c r="L63" i="321"/>
  <c r="K63" i="321"/>
  <c r="J63" i="321"/>
  <c r="L60" i="321"/>
  <c r="K60" i="321"/>
  <c r="J60" i="321"/>
  <c r="J55" i="321" s="1"/>
  <c r="I60" i="321"/>
  <c r="H60" i="321"/>
  <c r="L57" i="321"/>
  <c r="L55" i="321" s="1"/>
  <c r="K57" i="321"/>
  <c r="J57" i="321"/>
  <c r="I57" i="321"/>
  <c r="H57" i="321" s="1"/>
  <c r="H56" i="321"/>
  <c r="K55" i="321"/>
  <c r="L52" i="321"/>
  <c r="K52" i="321"/>
  <c r="J52" i="321"/>
  <c r="I52" i="321"/>
  <c r="H52" i="321" s="1"/>
  <c r="H51" i="321"/>
  <c r="H50" i="321"/>
  <c r="H49" i="321"/>
  <c r="H48" i="321"/>
  <c r="H47" i="321"/>
  <c r="H45" i="321"/>
  <c r="H43" i="321"/>
  <c r="D43" i="321"/>
  <c r="L41" i="321"/>
  <c r="L35" i="321" s="1"/>
  <c r="L130" i="321" s="1"/>
  <c r="K41" i="321"/>
  <c r="J41" i="321"/>
  <c r="H41" i="321" s="1"/>
  <c r="I41" i="321"/>
  <c r="H40" i="321"/>
  <c r="H39" i="321"/>
  <c r="J38" i="321"/>
  <c r="J35" i="321" s="1"/>
  <c r="H38" i="321"/>
  <c r="H37" i="321"/>
  <c r="H36" i="321"/>
  <c r="K35" i="321"/>
  <c r="K130" i="321" s="1"/>
  <c r="I35" i="321"/>
  <c r="H34" i="321"/>
  <c r="H33" i="321"/>
  <c r="J29" i="321"/>
  <c r="I29" i="321"/>
  <c r="H27" i="321"/>
  <c r="D27" i="321"/>
  <c r="H26" i="321"/>
  <c r="D26" i="321"/>
  <c r="H25" i="321"/>
  <c r="D25" i="321"/>
  <c r="L23" i="321"/>
  <c r="K23" i="321"/>
  <c r="J23" i="321"/>
  <c r="I23" i="321"/>
  <c r="H23" i="321" s="1"/>
  <c r="L20" i="321"/>
  <c r="L15" i="321" s="1"/>
  <c r="K20" i="321"/>
  <c r="J20" i="321"/>
  <c r="H20" i="321" s="1"/>
  <c r="I20" i="321"/>
  <c r="L17" i="321"/>
  <c r="K17" i="321"/>
  <c r="K15" i="321" s="1"/>
  <c r="J17" i="321"/>
  <c r="J15" i="321" s="1"/>
  <c r="I17" i="321"/>
  <c r="H17" i="321" s="1"/>
  <c r="H16" i="321"/>
  <c r="I15" i="321"/>
  <c r="L152" i="321" l="1"/>
  <c r="L150" i="321" s="1"/>
  <c r="L148" i="321" s="1"/>
  <c r="L128" i="321"/>
  <c r="L126" i="321" s="1"/>
  <c r="H63" i="321"/>
  <c r="I55" i="321"/>
  <c r="H92" i="321"/>
  <c r="I150" i="321"/>
  <c r="H138" i="321"/>
  <c r="H35" i="321"/>
  <c r="H132" i="321"/>
  <c r="K31" i="321"/>
  <c r="J46" i="321"/>
  <c r="J86" i="321" s="1"/>
  <c r="J130" i="321"/>
  <c r="K152" i="321"/>
  <c r="K150" i="321" s="1"/>
  <c r="K148" i="321" s="1"/>
  <c r="K128" i="321"/>
  <c r="K126" i="321" s="1"/>
  <c r="H89" i="321"/>
  <c r="H15" i="321"/>
  <c r="I46" i="321"/>
  <c r="H65" i="321"/>
  <c r="I75" i="321"/>
  <c r="H75" i="321" s="1"/>
  <c r="I108" i="321"/>
  <c r="H139" i="321"/>
  <c r="K30" i="321"/>
  <c r="J81" i="321"/>
  <c r="J75" i="321" s="1"/>
  <c r="J93" i="321" s="1"/>
  <c r="K29" i="321" l="1"/>
  <c r="K70" i="321"/>
  <c r="H30" i="321"/>
  <c r="K71" i="321"/>
  <c r="H71" i="321" s="1"/>
  <c r="H31" i="321"/>
  <c r="H55" i="321"/>
  <c r="J53" i="321"/>
  <c r="I148" i="321"/>
  <c r="I86" i="321"/>
  <c r="I53" i="321"/>
  <c r="H108" i="321"/>
  <c r="I106" i="321"/>
  <c r="J128" i="321"/>
  <c r="J152" i="321"/>
  <c r="H130" i="321"/>
  <c r="H81" i="321"/>
  <c r="J126" i="321" l="1"/>
  <c r="H126" i="321" s="1"/>
  <c r="H128" i="321"/>
  <c r="H106" i="321"/>
  <c r="I105" i="321"/>
  <c r="H105" i="321" s="1"/>
  <c r="I93" i="321"/>
  <c r="H70" i="321"/>
  <c r="K69" i="321"/>
  <c r="J150" i="321"/>
  <c r="H152" i="321"/>
  <c r="K53" i="321"/>
  <c r="K46" i="321"/>
  <c r="L32" i="321"/>
  <c r="L72" i="321" l="1"/>
  <c r="H32" i="321"/>
  <c r="L29" i="321"/>
  <c r="K86" i="321"/>
  <c r="H86" i="321" s="1"/>
  <c r="H46" i="321"/>
  <c r="K93" i="321"/>
  <c r="J148" i="321"/>
  <c r="H148" i="321" s="1"/>
  <c r="H150" i="321"/>
  <c r="L69" i="321" l="1"/>
  <c r="H72" i="321"/>
  <c r="L53" i="321"/>
  <c r="H53" i="321" s="1"/>
  <c r="H29" i="321"/>
  <c r="L93" i="321" l="1"/>
  <c r="H93" i="321" s="1"/>
  <c r="H69" i="321"/>
  <c r="H149" i="320" l="1"/>
  <c r="H147" i="320"/>
  <c r="H146" i="320"/>
  <c r="H145" i="320"/>
  <c r="L144" i="320"/>
  <c r="K144" i="320"/>
  <c r="J144" i="320"/>
  <c r="I144" i="320"/>
  <c r="H144" i="320" s="1"/>
  <c r="H143" i="320"/>
  <c r="H142" i="320"/>
  <c r="L141" i="320"/>
  <c r="K141" i="320"/>
  <c r="J141" i="320"/>
  <c r="I141" i="320"/>
  <c r="H141" i="320"/>
  <c r="H140" i="320"/>
  <c r="L139" i="320"/>
  <c r="L138" i="320" s="1"/>
  <c r="K139" i="320"/>
  <c r="J139" i="320"/>
  <c r="J138" i="320" s="1"/>
  <c r="I139" i="320"/>
  <c r="H139" i="320"/>
  <c r="K138" i="320"/>
  <c r="I138" i="320"/>
  <c r="H138" i="320" s="1"/>
  <c r="H137" i="320"/>
  <c r="H136" i="320"/>
  <c r="H135" i="320"/>
  <c r="L134" i="320"/>
  <c r="K134" i="320"/>
  <c r="J134" i="320"/>
  <c r="I134" i="320"/>
  <c r="H134" i="320" s="1"/>
  <c r="H133" i="320"/>
  <c r="L132" i="320"/>
  <c r="K132" i="320"/>
  <c r="J132" i="320"/>
  <c r="I132" i="320"/>
  <c r="H132" i="320" s="1"/>
  <c r="I130" i="320"/>
  <c r="I152" i="320" s="1"/>
  <c r="J129" i="320"/>
  <c r="J151" i="320" s="1"/>
  <c r="H129" i="320"/>
  <c r="I128" i="320"/>
  <c r="H127" i="320"/>
  <c r="I126" i="320"/>
  <c r="H125" i="320"/>
  <c r="H124" i="320"/>
  <c r="H123" i="320"/>
  <c r="L122" i="320"/>
  <c r="K122" i="320"/>
  <c r="J122" i="320"/>
  <c r="I122" i="320"/>
  <c r="H122" i="320" s="1"/>
  <c r="H121" i="320"/>
  <c r="H120" i="320"/>
  <c r="H119" i="320"/>
  <c r="H118" i="320"/>
  <c r="H117" i="320"/>
  <c r="H116" i="320"/>
  <c r="L115" i="320"/>
  <c r="K115" i="320"/>
  <c r="J115" i="320"/>
  <c r="H115" i="320" s="1"/>
  <c r="I115" i="320"/>
  <c r="H114" i="320"/>
  <c r="H113" i="320"/>
  <c r="L112" i="320"/>
  <c r="K112" i="320"/>
  <c r="J112" i="320"/>
  <c r="I112" i="320"/>
  <c r="H112" i="320" s="1"/>
  <c r="H111" i="320"/>
  <c r="H110" i="320"/>
  <c r="L109" i="320"/>
  <c r="L108" i="320" s="1"/>
  <c r="L106" i="320" s="1"/>
  <c r="L105" i="320" s="1"/>
  <c r="K109" i="320"/>
  <c r="J109" i="320"/>
  <c r="J108" i="320" s="1"/>
  <c r="J106" i="320" s="1"/>
  <c r="J105" i="320" s="1"/>
  <c r="I109" i="320"/>
  <c r="H109" i="320"/>
  <c r="K108" i="320"/>
  <c r="K106" i="320" s="1"/>
  <c r="K105" i="320" s="1"/>
  <c r="I108" i="320"/>
  <c r="H108" i="320" s="1"/>
  <c r="H107" i="320"/>
  <c r="H104" i="320"/>
  <c r="H103" i="320"/>
  <c r="H102" i="320"/>
  <c r="L101" i="320"/>
  <c r="K101" i="320"/>
  <c r="J101" i="320"/>
  <c r="I101" i="320"/>
  <c r="H101" i="320"/>
  <c r="H100" i="320"/>
  <c r="L99" i="320"/>
  <c r="K99" i="320"/>
  <c r="J99" i="320"/>
  <c r="H99" i="320" s="1"/>
  <c r="I99" i="320"/>
  <c r="H97" i="320"/>
  <c r="H96" i="320"/>
  <c r="H95" i="320"/>
  <c r="L91" i="320"/>
  <c r="J91" i="320"/>
  <c r="H91" i="320" s="1"/>
  <c r="H90" i="320"/>
  <c r="L89" i="320"/>
  <c r="L92" i="320" s="1"/>
  <c r="K89" i="320"/>
  <c r="J89" i="320"/>
  <c r="J92" i="320" s="1"/>
  <c r="I89" i="320"/>
  <c r="H89" i="320" s="1"/>
  <c r="H88" i="320"/>
  <c r="H87" i="320"/>
  <c r="H85" i="320"/>
  <c r="J83" i="320"/>
  <c r="H83" i="320"/>
  <c r="D83" i="320"/>
  <c r="L81" i="320"/>
  <c r="K81" i="320"/>
  <c r="J81" i="320"/>
  <c r="I81" i="320"/>
  <c r="H81" i="320"/>
  <c r="H80" i="320"/>
  <c r="H79" i="320"/>
  <c r="L78" i="320"/>
  <c r="L75" i="320" s="1"/>
  <c r="K78" i="320"/>
  <c r="K75" i="320" s="1"/>
  <c r="H77" i="320"/>
  <c r="H76" i="320"/>
  <c r="I75" i="320"/>
  <c r="H74" i="320"/>
  <c r="H73" i="320"/>
  <c r="J69" i="320"/>
  <c r="I69" i="320"/>
  <c r="K67" i="320"/>
  <c r="H67" i="320"/>
  <c r="D67" i="320"/>
  <c r="K66" i="320"/>
  <c r="H66" i="320" s="1"/>
  <c r="D66" i="320"/>
  <c r="K65" i="320"/>
  <c r="J65" i="320"/>
  <c r="I65" i="320"/>
  <c r="I63" i="320" s="1"/>
  <c r="H65" i="320"/>
  <c r="D65" i="320"/>
  <c r="L63" i="320"/>
  <c r="J63" i="320"/>
  <c r="L60" i="320"/>
  <c r="K60" i="320"/>
  <c r="J60" i="320"/>
  <c r="I60" i="320"/>
  <c r="I55" i="320" s="1"/>
  <c r="L57" i="320"/>
  <c r="L55" i="320" s="1"/>
  <c r="K57" i="320"/>
  <c r="J57" i="320"/>
  <c r="I57" i="320"/>
  <c r="H57" i="320"/>
  <c r="H56" i="320"/>
  <c r="J55" i="320"/>
  <c r="L52" i="320"/>
  <c r="J52" i="320"/>
  <c r="I52" i="320"/>
  <c r="L51" i="320"/>
  <c r="K51" i="320"/>
  <c r="K91" i="320" s="1"/>
  <c r="J51" i="320"/>
  <c r="H51" i="320"/>
  <c r="H50" i="320"/>
  <c r="H49" i="320"/>
  <c r="H48" i="320"/>
  <c r="H47" i="320"/>
  <c r="H45" i="320"/>
  <c r="H43" i="320"/>
  <c r="D43" i="320"/>
  <c r="L41" i="320"/>
  <c r="L35" i="320" s="1"/>
  <c r="L130" i="320" s="1"/>
  <c r="K41" i="320"/>
  <c r="J41" i="320"/>
  <c r="J35" i="320" s="1"/>
  <c r="I41" i="320"/>
  <c r="H41" i="320"/>
  <c r="H40" i="320"/>
  <c r="H39" i="320"/>
  <c r="J38" i="320"/>
  <c r="J78" i="320" s="1"/>
  <c r="H38" i="320"/>
  <c r="H37" i="320"/>
  <c r="H36" i="320"/>
  <c r="K35" i="320"/>
  <c r="K130" i="320" s="1"/>
  <c r="I35" i="320"/>
  <c r="H34" i="320"/>
  <c r="H33" i="320"/>
  <c r="J29" i="320"/>
  <c r="I29" i="320"/>
  <c r="H27" i="320"/>
  <c r="D27" i="320"/>
  <c r="H26" i="320"/>
  <c r="D26" i="320"/>
  <c r="H25" i="320"/>
  <c r="D25" i="320"/>
  <c r="L23" i="320"/>
  <c r="K23" i="320"/>
  <c r="J23" i="320"/>
  <c r="I23" i="320"/>
  <c r="H23" i="320" s="1"/>
  <c r="L20" i="320"/>
  <c r="L15" i="320" s="1"/>
  <c r="K20" i="320"/>
  <c r="J20" i="320"/>
  <c r="J15" i="320" s="1"/>
  <c r="I20" i="320"/>
  <c r="H20" i="320"/>
  <c r="L17" i="320"/>
  <c r="K17" i="320"/>
  <c r="J17" i="320"/>
  <c r="I17" i="320"/>
  <c r="H17" i="320" s="1"/>
  <c r="H16" i="320"/>
  <c r="K15" i="320"/>
  <c r="I15" i="320"/>
  <c r="H78" i="320" l="1"/>
  <c r="J75" i="320"/>
  <c r="H75" i="320" s="1"/>
  <c r="I150" i="320"/>
  <c r="H63" i="320"/>
  <c r="K92" i="320"/>
  <c r="K152" i="320"/>
  <c r="K150" i="320" s="1"/>
  <c r="K148" i="320" s="1"/>
  <c r="K128" i="320"/>
  <c r="K126" i="320" s="1"/>
  <c r="J46" i="320"/>
  <c r="J86" i="320" s="1"/>
  <c r="J93" i="320" s="1"/>
  <c r="J130" i="320"/>
  <c r="K31" i="320"/>
  <c r="H35" i="320"/>
  <c r="L152" i="320"/>
  <c r="L150" i="320" s="1"/>
  <c r="L148" i="320" s="1"/>
  <c r="L128" i="320"/>
  <c r="L126" i="320" s="1"/>
  <c r="K55" i="320"/>
  <c r="H55" i="320" s="1"/>
  <c r="H151" i="320"/>
  <c r="H15" i="320"/>
  <c r="I46" i="320"/>
  <c r="H60" i="320"/>
  <c r="K63" i="320"/>
  <c r="K30" i="320"/>
  <c r="I106" i="320"/>
  <c r="I92" i="320"/>
  <c r="H92" i="320" s="1"/>
  <c r="K52" i="320"/>
  <c r="H52" i="320" s="1"/>
  <c r="I148" i="320" l="1"/>
  <c r="I86" i="320"/>
  <c r="J53" i="320"/>
  <c r="K29" i="320"/>
  <c r="H30" i="320"/>
  <c r="K70" i="320"/>
  <c r="H31" i="320"/>
  <c r="K71" i="320"/>
  <c r="H71" i="320" s="1"/>
  <c r="H106" i="320"/>
  <c r="I105" i="320"/>
  <c r="H105" i="320" s="1"/>
  <c r="J152" i="320"/>
  <c r="H130" i="320"/>
  <c r="J128" i="320"/>
  <c r="I53" i="320"/>
  <c r="J126" i="320" l="1"/>
  <c r="H126" i="320" s="1"/>
  <c r="H128" i="320"/>
  <c r="H70" i="320"/>
  <c r="K69" i="320"/>
  <c r="I93" i="320"/>
  <c r="J150" i="320"/>
  <c r="H152" i="320"/>
  <c r="K53" i="320"/>
  <c r="K46" i="320"/>
  <c r="L32" i="320"/>
  <c r="H32" i="320" l="1"/>
  <c r="L72" i="320"/>
  <c r="L29" i="320"/>
  <c r="K86" i="320"/>
  <c r="H86" i="320" s="1"/>
  <c r="H46" i="320"/>
  <c r="J148" i="320"/>
  <c r="H148" i="320" s="1"/>
  <c r="H150" i="320"/>
  <c r="K93" i="320"/>
  <c r="H72" i="320" l="1"/>
  <c r="L69" i="320"/>
  <c r="L53" i="320"/>
  <c r="H53" i="320" s="1"/>
  <c r="H29" i="320"/>
  <c r="L93" i="320" l="1"/>
  <c r="H93" i="320" s="1"/>
  <c r="H69" i="320"/>
  <c r="F157" i="319" l="1"/>
  <c r="I154" i="319"/>
  <c r="F154" i="319"/>
  <c r="G149" i="319"/>
  <c r="G147" i="319"/>
  <c r="G146" i="319"/>
  <c r="G145" i="319"/>
  <c r="K144" i="319"/>
  <c r="J144" i="319"/>
  <c r="I144" i="319"/>
  <c r="G144" i="319" s="1"/>
  <c r="H144" i="319"/>
  <c r="G143" i="319"/>
  <c r="G142" i="319"/>
  <c r="K141" i="319"/>
  <c r="J141" i="319"/>
  <c r="J139" i="319" s="1"/>
  <c r="J138" i="319" s="1"/>
  <c r="I141" i="319"/>
  <c r="I139" i="319" s="1"/>
  <c r="I138" i="319" s="1"/>
  <c r="H141" i="319"/>
  <c r="G141" i="319" s="1"/>
  <c r="G140" i="319"/>
  <c r="K139" i="319"/>
  <c r="H139" i="319"/>
  <c r="G139" i="319" s="1"/>
  <c r="K138" i="319"/>
  <c r="G137" i="319"/>
  <c r="G136" i="319"/>
  <c r="G135" i="319"/>
  <c r="K134" i="319"/>
  <c r="J134" i="319"/>
  <c r="I134" i="319"/>
  <c r="G134" i="319" s="1"/>
  <c r="H134" i="319"/>
  <c r="H132" i="319" s="1"/>
  <c r="G132" i="319" s="1"/>
  <c r="G133" i="319"/>
  <c r="K132" i="319"/>
  <c r="J132" i="319"/>
  <c r="I132" i="319"/>
  <c r="I129" i="319"/>
  <c r="G129" i="319" s="1"/>
  <c r="G127" i="319"/>
  <c r="G125" i="319"/>
  <c r="G124" i="319"/>
  <c r="G123" i="319"/>
  <c r="K122" i="319"/>
  <c r="J122" i="319"/>
  <c r="I122" i="319"/>
  <c r="H122" i="319"/>
  <c r="G122" i="319"/>
  <c r="G121" i="319"/>
  <c r="G120" i="319"/>
  <c r="G119" i="319"/>
  <c r="G118" i="319"/>
  <c r="G117" i="319"/>
  <c r="G116" i="319"/>
  <c r="K115" i="319"/>
  <c r="J115" i="319"/>
  <c r="I115" i="319"/>
  <c r="H115" i="319"/>
  <c r="G115" i="319" s="1"/>
  <c r="G114" i="319"/>
  <c r="G113" i="319"/>
  <c r="K112" i="319"/>
  <c r="J112" i="319"/>
  <c r="I112" i="319"/>
  <c r="G112" i="319" s="1"/>
  <c r="H112" i="319"/>
  <c r="G111" i="319"/>
  <c r="G110" i="319"/>
  <c r="K109" i="319"/>
  <c r="J109" i="319"/>
  <c r="J108" i="319" s="1"/>
  <c r="J106" i="319" s="1"/>
  <c r="J105" i="319" s="1"/>
  <c r="I109" i="319"/>
  <c r="H109" i="319"/>
  <c r="G109" i="319" s="1"/>
  <c r="K108" i="319"/>
  <c r="K106" i="319" s="1"/>
  <c r="K105" i="319" s="1"/>
  <c r="I108" i="319"/>
  <c r="I106" i="319" s="1"/>
  <c r="I105" i="319" s="1"/>
  <c r="G107" i="319"/>
  <c r="G104" i="319"/>
  <c r="G103" i="319"/>
  <c r="G102" i="319"/>
  <c r="K101" i="319"/>
  <c r="J101" i="319"/>
  <c r="I101" i="319"/>
  <c r="I99" i="319" s="1"/>
  <c r="H101" i="319"/>
  <c r="G101" i="319" s="1"/>
  <c r="G100" i="319"/>
  <c r="K99" i="319"/>
  <c r="J99" i="319"/>
  <c r="H99" i="319"/>
  <c r="G99" i="319" s="1"/>
  <c r="G97" i="319"/>
  <c r="G96" i="319"/>
  <c r="G95" i="319"/>
  <c r="J91" i="319"/>
  <c r="G90" i="319"/>
  <c r="K89" i="319"/>
  <c r="J89" i="319"/>
  <c r="J92" i="319" s="1"/>
  <c r="I89" i="319"/>
  <c r="H89" i="319"/>
  <c r="H92" i="319" s="1"/>
  <c r="G88" i="319"/>
  <c r="G87" i="319"/>
  <c r="G85" i="319"/>
  <c r="I83" i="319"/>
  <c r="G83" i="319"/>
  <c r="K81" i="319"/>
  <c r="J81" i="319"/>
  <c r="I81" i="319"/>
  <c r="H81" i="319"/>
  <c r="G81" i="319" s="1"/>
  <c r="G80" i="319"/>
  <c r="G79" i="319"/>
  <c r="K78" i="319"/>
  <c r="K75" i="319" s="1"/>
  <c r="J78" i="319"/>
  <c r="H78" i="319"/>
  <c r="G77" i="319"/>
  <c r="G76" i="319"/>
  <c r="J75" i="319"/>
  <c r="H75" i="319"/>
  <c r="G74" i="319"/>
  <c r="G73" i="319"/>
  <c r="I69" i="319"/>
  <c r="H69" i="319"/>
  <c r="J67" i="319"/>
  <c r="G67" i="319"/>
  <c r="J66" i="319"/>
  <c r="G66" i="319"/>
  <c r="J65" i="319"/>
  <c r="I65" i="319"/>
  <c r="I63" i="319" s="1"/>
  <c r="H65" i="319"/>
  <c r="G65" i="319"/>
  <c r="K63" i="319"/>
  <c r="J63" i="319"/>
  <c r="H63" i="319"/>
  <c r="G63" i="319" s="1"/>
  <c r="K60" i="319"/>
  <c r="K55" i="319" s="1"/>
  <c r="J60" i="319"/>
  <c r="I60" i="319"/>
  <c r="I55" i="319" s="1"/>
  <c r="H60" i="319"/>
  <c r="K57" i="319"/>
  <c r="J57" i="319"/>
  <c r="I57" i="319"/>
  <c r="H57" i="319"/>
  <c r="G57" i="319" s="1"/>
  <c r="G56" i="319"/>
  <c r="J55" i="319"/>
  <c r="H55" i="319"/>
  <c r="G55" i="319" s="1"/>
  <c r="J52" i="319"/>
  <c r="H52" i="319"/>
  <c r="K51" i="319"/>
  <c r="K52" i="319" s="1"/>
  <c r="J51" i="319"/>
  <c r="I51" i="319"/>
  <c r="I91" i="319" s="1"/>
  <c r="G50" i="319"/>
  <c r="G49" i="319"/>
  <c r="G48" i="319"/>
  <c r="G47" i="319"/>
  <c r="G45" i="319"/>
  <c r="G43" i="319"/>
  <c r="K41" i="319"/>
  <c r="J41" i="319"/>
  <c r="J35" i="319" s="1"/>
  <c r="J130" i="319" s="1"/>
  <c r="I41" i="319"/>
  <c r="H41" i="319"/>
  <c r="G41" i="319" s="1"/>
  <c r="G40" i="319"/>
  <c r="G39" i="319"/>
  <c r="I38" i="319"/>
  <c r="G38" i="319" s="1"/>
  <c r="G37" i="319"/>
  <c r="G36" i="319"/>
  <c r="K35" i="319"/>
  <c r="K130" i="319" s="1"/>
  <c r="I35" i="319"/>
  <c r="J31" i="319" s="1"/>
  <c r="G34" i="319"/>
  <c r="G33" i="319"/>
  <c r="I29" i="319"/>
  <c r="H29" i="319"/>
  <c r="G27" i="319"/>
  <c r="G26" i="319"/>
  <c r="G25" i="319"/>
  <c r="K23" i="319"/>
  <c r="J23" i="319"/>
  <c r="I23" i="319"/>
  <c r="H23" i="319"/>
  <c r="G23" i="319" s="1"/>
  <c r="K20" i="319"/>
  <c r="K15" i="319" s="1"/>
  <c r="J20" i="319"/>
  <c r="I20" i="319"/>
  <c r="I15" i="319" s="1"/>
  <c r="H20" i="319"/>
  <c r="G20" i="319"/>
  <c r="K17" i="319"/>
  <c r="J17" i="319"/>
  <c r="I17" i="319"/>
  <c r="H17" i="319"/>
  <c r="G17" i="319" s="1"/>
  <c r="G16" i="319"/>
  <c r="J15" i="319"/>
  <c r="H15" i="319"/>
  <c r="G15" i="319" s="1"/>
  <c r="G91" i="319" l="1"/>
  <c r="I46" i="319"/>
  <c r="I86" i="319" s="1"/>
  <c r="K128" i="319"/>
  <c r="K126" i="319" s="1"/>
  <c r="K152" i="319"/>
  <c r="K150" i="319" s="1"/>
  <c r="K148" i="319" s="1"/>
  <c r="I92" i="319"/>
  <c r="J152" i="319"/>
  <c r="J150" i="319" s="1"/>
  <c r="J148" i="319" s="1"/>
  <c r="J128" i="319"/>
  <c r="J126" i="319" s="1"/>
  <c r="J71" i="319"/>
  <c r="G71" i="319" s="1"/>
  <c r="G31" i="319"/>
  <c r="G52" i="319"/>
  <c r="G60" i="319"/>
  <c r="I78" i="319"/>
  <c r="G89" i="319"/>
  <c r="I151" i="319"/>
  <c r="H35" i="319"/>
  <c r="I52" i="319"/>
  <c r="K91" i="319"/>
  <c r="K92" i="319" s="1"/>
  <c r="H108" i="319"/>
  <c r="I130" i="319"/>
  <c r="G51" i="319"/>
  <c r="H138" i="319"/>
  <c r="G138" i="319" s="1"/>
  <c r="G92" i="319" l="1"/>
  <c r="H46" i="319"/>
  <c r="H130" i="319"/>
  <c r="G35" i="319"/>
  <c r="I53" i="319"/>
  <c r="H53" i="319"/>
  <c r="G151" i="319"/>
  <c r="H106" i="319"/>
  <c r="G108" i="319"/>
  <c r="G78" i="319"/>
  <c r="I75" i="319"/>
  <c r="I152" i="319"/>
  <c r="I150" i="319" s="1"/>
  <c r="I148" i="319" s="1"/>
  <c r="I128" i="319"/>
  <c r="I126" i="319" s="1"/>
  <c r="G106" i="319" l="1"/>
  <c r="H105" i="319"/>
  <c r="G105" i="319" s="1"/>
  <c r="I93" i="319"/>
  <c r="G75" i="319"/>
  <c r="G130" i="319"/>
  <c r="H152" i="319"/>
  <c r="H128" i="319"/>
  <c r="H86" i="319"/>
  <c r="J30" i="319"/>
  <c r="J29" i="319" l="1"/>
  <c r="J70" i="319"/>
  <c r="G30" i="319"/>
  <c r="H126" i="319"/>
  <c r="G126" i="319" s="1"/>
  <c r="G128" i="319"/>
  <c r="H93" i="319"/>
  <c r="H150" i="319"/>
  <c r="G152" i="319"/>
  <c r="K32" i="319" l="1"/>
  <c r="J46" i="319"/>
  <c r="G150" i="319"/>
  <c r="H148" i="319"/>
  <c r="G148" i="319" s="1"/>
  <c r="G70" i="319"/>
  <c r="J69" i="319"/>
  <c r="K72" i="319" l="1"/>
  <c r="K29" i="319"/>
  <c r="K46" i="319"/>
  <c r="K86" i="319" s="1"/>
  <c r="G32" i="319"/>
  <c r="J86" i="319"/>
  <c r="G86" i="319" s="1"/>
  <c r="G46" i="319"/>
  <c r="J53" i="319"/>
  <c r="K53" i="319" l="1"/>
  <c r="G53" i="319" s="1"/>
  <c r="G29" i="319"/>
  <c r="G72" i="319"/>
  <c r="K69" i="319"/>
  <c r="J93" i="319"/>
  <c r="K93" i="319" l="1"/>
  <c r="G69" i="319"/>
  <c r="G93" i="319"/>
  <c r="G149" i="318" l="1"/>
  <c r="G147" i="318"/>
  <c r="G146" i="318"/>
  <c r="G145" i="318"/>
  <c r="K144" i="318"/>
  <c r="J144" i="318"/>
  <c r="I144" i="318"/>
  <c r="H144" i="318"/>
  <c r="G143" i="318"/>
  <c r="G142" i="318"/>
  <c r="K141" i="318"/>
  <c r="K139" i="318" s="1"/>
  <c r="K138" i="318" s="1"/>
  <c r="J141" i="318"/>
  <c r="J139" i="318" s="1"/>
  <c r="J138" i="318" s="1"/>
  <c r="I141" i="318"/>
  <c r="I139" i="318" s="1"/>
  <c r="H141" i="318"/>
  <c r="G140" i="318"/>
  <c r="H139" i="318"/>
  <c r="G137" i="318"/>
  <c r="G136" i="318"/>
  <c r="G135" i="318"/>
  <c r="K134" i="318"/>
  <c r="K132" i="318" s="1"/>
  <c r="J134" i="318"/>
  <c r="I134" i="318"/>
  <c r="I132" i="318" s="1"/>
  <c r="H134" i="318"/>
  <c r="H132" i="318" s="1"/>
  <c r="G133" i="318"/>
  <c r="J132" i="318"/>
  <c r="I129" i="318"/>
  <c r="G129" i="318" s="1"/>
  <c r="G127" i="318"/>
  <c r="G125" i="318"/>
  <c r="G124" i="318"/>
  <c r="G123" i="318"/>
  <c r="K122" i="318"/>
  <c r="J122" i="318"/>
  <c r="I122" i="318"/>
  <c r="H122" i="318"/>
  <c r="G121" i="318"/>
  <c r="G120" i="318"/>
  <c r="G119" i="318"/>
  <c r="G118" i="318"/>
  <c r="G117" i="318"/>
  <c r="G116" i="318"/>
  <c r="K115" i="318"/>
  <c r="J115" i="318"/>
  <c r="I115" i="318"/>
  <c r="H115" i="318"/>
  <c r="G114" i="318"/>
  <c r="G113" i="318"/>
  <c r="K112" i="318"/>
  <c r="K108" i="318" s="1"/>
  <c r="K106" i="318" s="1"/>
  <c r="K105" i="318" s="1"/>
  <c r="J112" i="318"/>
  <c r="I112" i="318"/>
  <c r="H112" i="318"/>
  <c r="G111" i="318"/>
  <c r="G110" i="318"/>
  <c r="K109" i="318"/>
  <c r="J109" i="318"/>
  <c r="I109" i="318"/>
  <c r="H109" i="318"/>
  <c r="G107" i="318"/>
  <c r="G104" i="318"/>
  <c r="G103" i="318"/>
  <c r="G102" i="318"/>
  <c r="K101" i="318"/>
  <c r="J101" i="318"/>
  <c r="J99" i="318" s="1"/>
  <c r="I101" i="318"/>
  <c r="I99" i="318" s="1"/>
  <c r="H101" i="318"/>
  <c r="G100" i="318"/>
  <c r="K99" i="318"/>
  <c r="G97" i="318"/>
  <c r="G96" i="318"/>
  <c r="G95" i="318"/>
  <c r="J91" i="318"/>
  <c r="G90" i="318"/>
  <c r="K89" i="318"/>
  <c r="J89" i="318"/>
  <c r="I89" i="318"/>
  <c r="G89" i="318" s="1"/>
  <c r="H89" i="318"/>
  <c r="H92" i="318" s="1"/>
  <c r="G88" i="318"/>
  <c r="G87" i="318"/>
  <c r="G85" i="318"/>
  <c r="I83" i="318"/>
  <c r="G83" i="318" s="1"/>
  <c r="K81" i="318"/>
  <c r="J81" i="318"/>
  <c r="H81" i="318"/>
  <c r="H75" i="318" s="1"/>
  <c r="G80" i="318"/>
  <c r="G79" i="318"/>
  <c r="K78" i="318"/>
  <c r="J78" i="318"/>
  <c r="H78" i="318"/>
  <c r="G77" i="318"/>
  <c r="G76" i="318"/>
  <c r="K75" i="318"/>
  <c r="G74" i="318"/>
  <c r="G73" i="318"/>
  <c r="I69" i="318"/>
  <c r="H69" i="318"/>
  <c r="J67" i="318"/>
  <c r="G67" i="318" s="1"/>
  <c r="J66" i="318"/>
  <c r="G66" i="318" s="1"/>
  <c r="I65" i="318"/>
  <c r="I63" i="318" s="1"/>
  <c r="H65" i="318"/>
  <c r="K63" i="318"/>
  <c r="K60" i="318"/>
  <c r="J60" i="318"/>
  <c r="I60" i="318"/>
  <c r="H60" i="318"/>
  <c r="K57" i="318"/>
  <c r="J57" i="318"/>
  <c r="I57" i="318"/>
  <c r="H57" i="318"/>
  <c r="G56" i="318"/>
  <c r="H52" i="318"/>
  <c r="K51" i="318"/>
  <c r="K91" i="318" s="1"/>
  <c r="J51" i="318"/>
  <c r="J52" i="318" s="1"/>
  <c r="I51" i="318"/>
  <c r="I52" i="318" s="1"/>
  <c r="G50" i="318"/>
  <c r="G49" i="318"/>
  <c r="G48" i="318"/>
  <c r="G47" i="318"/>
  <c r="G45" i="318"/>
  <c r="G43" i="318"/>
  <c r="K41" i="318"/>
  <c r="J41" i="318"/>
  <c r="J35" i="318" s="1"/>
  <c r="J130" i="318" s="1"/>
  <c r="I41" i="318"/>
  <c r="H41" i="318"/>
  <c r="H35" i="318" s="1"/>
  <c r="G40" i="318"/>
  <c r="G39" i="318"/>
  <c r="I38" i="318"/>
  <c r="I35" i="318" s="1"/>
  <c r="G37" i="318"/>
  <c r="G36" i="318"/>
  <c r="K35" i="318"/>
  <c r="K130" i="318" s="1"/>
  <c r="G34" i="318"/>
  <c r="G33" i="318"/>
  <c r="I29" i="318"/>
  <c r="H29" i="318"/>
  <c r="G27" i="318"/>
  <c r="G26" i="318"/>
  <c r="J25" i="318"/>
  <c r="J65" i="318" s="1"/>
  <c r="K23" i="318"/>
  <c r="I23" i="318"/>
  <c r="H23" i="318"/>
  <c r="K20" i="318"/>
  <c r="J20" i="318"/>
  <c r="I20" i="318"/>
  <c r="H20" i="318"/>
  <c r="K17" i="318"/>
  <c r="J17" i="318"/>
  <c r="I17" i="318"/>
  <c r="I15" i="318" s="1"/>
  <c r="H17" i="318"/>
  <c r="G16" i="318"/>
  <c r="H15" i="318"/>
  <c r="K52" i="318" l="1"/>
  <c r="K55" i="318"/>
  <c r="J75" i="318"/>
  <c r="J108" i="318"/>
  <c r="J106" i="318" s="1"/>
  <c r="J105" i="318" s="1"/>
  <c r="G101" i="318"/>
  <c r="I138" i="318"/>
  <c r="G17" i="318"/>
  <c r="G144" i="318"/>
  <c r="I151" i="318"/>
  <c r="G151" i="318" s="1"/>
  <c r="G20" i="318"/>
  <c r="I81" i="318"/>
  <c r="G122" i="318"/>
  <c r="G60" i="318"/>
  <c r="G81" i="318"/>
  <c r="I108" i="318"/>
  <c r="I106" i="318" s="1"/>
  <c r="I105" i="318" s="1"/>
  <c r="G112" i="318"/>
  <c r="K15" i="318"/>
  <c r="J63" i="318"/>
  <c r="J55" i="318" s="1"/>
  <c r="I55" i="318"/>
  <c r="J92" i="318"/>
  <c r="H99" i="318"/>
  <c r="G99" i="318" s="1"/>
  <c r="G109" i="318"/>
  <c r="G115" i="318"/>
  <c r="G141" i="318"/>
  <c r="K152" i="318"/>
  <c r="K150" i="318" s="1"/>
  <c r="K148" i="318" s="1"/>
  <c r="K128" i="318"/>
  <c r="K126" i="318" s="1"/>
  <c r="J152" i="318"/>
  <c r="J150" i="318" s="1"/>
  <c r="J148" i="318" s="1"/>
  <c r="J128" i="318"/>
  <c r="J126" i="318" s="1"/>
  <c r="I130" i="318"/>
  <c r="J31" i="318"/>
  <c r="H130" i="318"/>
  <c r="G35" i="318"/>
  <c r="H46" i="318"/>
  <c r="G52" i="318"/>
  <c r="G65" i="318"/>
  <c r="G132" i="318"/>
  <c r="K92" i="318"/>
  <c r="G139" i="318"/>
  <c r="I46" i="318"/>
  <c r="I86" i="318" s="1"/>
  <c r="G25" i="318"/>
  <c r="G38" i="318"/>
  <c r="G41" i="318"/>
  <c r="G51" i="318"/>
  <c r="G57" i="318"/>
  <c r="I91" i="318"/>
  <c r="H138" i="318"/>
  <c r="G138" i="318" s="1"/>
  <c r="I78" i="318"/>
  <c r="I75" i="318" s="1"/>
  <c r="I93" i="318" s="1"/>
  <c r="H63" i="318"/>
  <c r="G134" i="318"/>
  <c r="J23" i="318"/>
  <c r="H108" i="318"/>
  <c r="G63" i="318" l="1"/>
  <c r="J30" i="318"/>
  <c r="H86" i="318"/>
  <c r="I128" i="318"/>
  <c r="I126" i="318" s="1"/>
  <c r="I152" i="318"/>
  <c r="I150" i="318" s="1"/>
  <c r="I148" i="318" s="1"/>
  <c r="G108" i="318"/>
  <c r="H106" i="318"/>
  <c r="J71" i="318"/>
  <c r="G71" i="318" s="1"/>
  <c r="G31" i="318"/>
  <c r="G75" i="318"/>
  <c r="H53" i="318"/>
  <c r="I92" i="318"/>
  <c r="G92" i="318" s="1"/>
  <c r="G91" i="318"/>
  <c r="H128" i="318"/>
  <c r="H152" i="318"/>
  <c r="G130" i="318"/>
  <c r="G78" i="318"/>
  <c r="G23" i="318"/>
  <c r="I53" i="318"/>
  <c r="J15" i="318"/>
  <c r="H55" i="318"/>
  <c r="G152" i="318" l="1"/>
  <c r="H150" i="318"/>
  <c r="J29" i="318"/>
  <c r="J70" i="318"/>
  <c r="G30" i="318"/>
  <c r="G15" i="318"/>
  <c r="G55" i="318"/>
  <c r="H93" i="318"/>
  <c r="G106" i="318"/>
  <c r="H105" i="318"/>
  <c r="G105" i="318" s="1"/>
  <c r="G128" i="318"/>
  <c r="H126" i="318"/>
  <c r="G126" i="318" s="1"/>
  <c r="J53" i="318" l="1"/>
  <c r="H148" i="318"/>
  <c r="G148" i="318" s="1"/>
  <c r="G150" i="318"/>
  <c r="J46" i="318"/>
  <c r="K32" i="318"/>
  <c r="J69" i="318"/>
  <c r="G70" i="318"/>
  <c r="J86" i="318" l="1"/>
  <c r="G86" i="318" s="1"/>
  <c r="G46" i="318"/>
  <c r="K46" i="318"/>
  <c r="K86" i="318" s="1"/>
  <c r="K29" i="318"/>
  <c r="K72" i="318"/>
  <c r="G32" i="318"/>
  <c r="K69" i="318" l="1"/>
  <c r="G72" i="318"/>
  <c r="K53" i="318"/>
  <c r="G53" i="318" s="1"/>
  <c r="G29" i="318"/>
  <c r="J93" i="318"/>
  <c r="K93" i="318" l="1"/>
  <c r="G93" i="318" s="1"/>
  <c r="G69" i="318"/>
  <c r="K89" i="315" l="1"/>
  <c r="K87" i="315"/>
  <c r="J87" i="315"/>
  <c r="I87" i="315"/>
  <c r="H87" i="315"/>
  <c r="I81" i="315"/>
  <c r="K76" i="315"/>
  <c r="J76" i="315"/>
  <c r="H76" i="315"/>
  <c r="J65" i="315"/>
  <c r="J64" i="315"/>
  <c r="I64" i="315"/>
  <c r="H64" i="315"/>
  <c r="K50" i="315"/>
  <c r="I50" i="315"/>
  <c r="I89" i="315" s="1"/>
  <c r="H64" i="314"/>
  <c r="I64" i="314"/>
  <c r="J64" i="314"/>
  <c r="H76" i="314"/>
  <c r="K76" i="314"/>
  <c r="I81" i="314"/>
  <c r="H87" i="314"/>
  <c r="I87" i="314"/>
  <c r="K87" i="314"/>
  <c r="J48" i="314"/>
  <c r="J87" i="314" s="1"/>
  <c r="J50" i="315"/>
  <c r="J89" i="315" s="1"/>
  <c r="I37" i="315" l="1"/>
  <c r="I76" i="315" s="1"/>
  <c r="F155" i="315"/>
  <c r="I152" i="315"/>
  <c r="F152" i="315"/>
  <c r="G147" i="315"/>
  <c r="G145" i="315"/>
  <c r="G144" i="315"/>
  <c r="G143" i="315"/>
  <c r="K142" i="315"/>
  <c r="J142" i="315"/>
  <c r="I142" i="315"/>
  <c r="H142" i="315"/>
  <c r="G142" i="315" s="1"/>
  <c r="G141" i="315"/>
  <c r="G140" i="315"/>
  <c r="K139" i="315"/>
  <c r="K137" i="315" s="1"/>
  <c r="K136" i="315" s="1"/>
  <c r="J139" i="315"/>
  <c r="J137" i="315" s="1"/>
  <c r="I139" i="315"/>
  <c r="I137" i="315" s="1"/>
  <c r="I136" i="315" s="1"/>
  <c r="H139" i="315"/>
  <c r="G138" i="315"/>
  <c r="H137" i="315"/>
  <c r="G135" i="315"/>
  <c r="G134" i="315"/>
  <c r="G133" i="315"/>
  <c r="K132" i="315"/>
  <c r="K130" i="315" s="1"/>
  <c r="J132" i="315"/>
  <c r="I132" i="315"/>
  <c r="I130" i="315" s="1"/>
  <c r="H132" i="315"/>
  <c r="H130" i="315" s="1"/>
  <c r="G131" i="315"/>
  <c r="J130" i="315"/>
  <c r="I127" i="315"/>
  <c r="G127" i="315" s="1"/>
  <c r="G125" i="315"/>
  <c r="G123" i="315"/>
  <c r="G122" i="315"/>
  <c r="G121" i="315"/>
  <c r="K120" i="315"/>
  <c r="J120" i="315"/>
  <c r="I120" i="315"/>
  <c r="H120" i="315"/>
  <c r="G120" i="315" s="1"/>
  <c r="G119" i="315"/>
  <c r="G118" i="315"/>
  <c r="G117" i="315"/>
  <c r="G116" i="315"/>
  <c r="G115" i="315"/>
  <c r="G114" i="315"/>
  <c r="K113" i="315"/>
  <c r="J113" i="315"/>
  <c r="I113" i="315"/>
  <c r="H113" i="315"/>
  <c r="G112" i="315"/>
  <c r="G111" i="315"/>
  <c r="K110" i="315"/>
  <c r="J110" i="315"/>
  <c r="I110" i="315"/>
  <c r="H110" i="315"/>
  <c r="G110" i="315" s="1"/>
  <c r="G109" i="315"/>
  <c r="G108" i="315"/>
  <c r="K107" i="315"/>
  <c r="J107" i="315"/>
  <c r="I107" i="315"/>
  <c r="I106" i="315" s="1"/>
  <c r="I104" i="315" s="1"/>
  <c r="I103" i="315" s="1"/>
  <c r="H107" i="315"/>
  <c r="K106" i="315"/>
  <c r="K104" i="315" s="1"/>
  <c r="K103" i="315" s="1"/>
  <c r="G105" i="315"/>
  <c r="G102" i="315"/>
  <c r="G101" i="315"/>
  <c r="G100" i="315"/>
  <c r="K99" i="315"/>
  <c r="J99" i="315"/>
  <c r="J97" i="315" s="1"/>
  <c r="I99" i="315"/>
  <c r="I97" i="315" s="1"/>
  <c r="H99" i="315"/>
  <c r="G99" i="315" s="1"/>
  <c r="G98" i="315"/>
  <c r="K97" i="315"/>
  <c r="G95" i="315"/>
  <c r="G94" i="315"/>
  <c r="G93" i="315"/>
  <c r="I90" i="315"/>
  <c r="G88" i="315"/>
  <c r="H90" i="315"/>
  <c r="G86" i="315"/>
  <c r="G85" i="315"/>
  <c r="G83" i="315"/>
  <c r="G81" i="315"/>
  <c r="K79" i="315"/>
  <c r="J79" i="315"/>
  <c r="I79" i="315"/>
  <c r="H79" i="315"/>
  <c r="G78" i="315"/>
  <c r="G77" i="315"/>
  <c r="G75" i="315"/>
  <c r="G74" i="315"/>
  <c r="K73" i="315"/>
  <c r="H73" i="315"/>
  <c r="G72" i="315"/>
  <c r="G71" i="315"/>
  <c r="I67" i="315"/>
  <c r="H67" i="315"/>
  <c r="I62" i="315"/>
  <c r="K62" i="315"/>
  <c r="H62" i="315"/>
  <c r="K59" i="315"/>
  <c r="J59" i="315"/>
  <c r="I59" i="315"/>
  <c r="H59" i="315"/>
  <c r="K56" i="315"/>
  <c r="J56" i="315"/>
  <c r="I56" i="315"/>
  <c r="H56" i="315"/>
  <c r="H54" i="315" s="1"/>
  <c r="G55" i="315"/>
  <c r="K54" i="315"/>
  <c r="J51" i="315"/>
  <c r="I51" i="315"/>
  <c r="H51" i="315"/>
  <c r="G50" i="315"/>
  <c r="G49" i="315"/>
  <c r="G48" i="315"/>
  <c r="G47" i="315"/>
  <c r="G46" i="315"/>
  <c r="G44" i="315"/>
  <c r="G42" i="315"/>
  <c r="K40" i="315"/>
  <c r="J40" i="315"/>
  <c r="J34" i="315" s="1"/>
  <c r="J128" i="315" s="1"/>
  <c r="I40" i="315"/>
  <c r="H40" i="315"/>
  <c r="G39" i="315"/>
  <c r="G38" i="315"/>
  <c r="J73" i="315"/>
  <c r="G36" i="315"/>
  <c r="G35" i="315"/>
  <c r="K34" i="315"/>
  <c r="K128" i="315" s="1"/>
  <c r="H34" i="315"/>
  <c r="H45" i="315" s="1"/>
  <c r="G33" i="315"/>
  <c r="G32" i="315"/>
  <c r="I28" i="315"/>
  <c r="H28" i="315"/>
  <c r="G65" i="315"/>
  <c r="G25" i="315"/>
  <c r="K23" i="315"/>
  <c r="J23" i="315"/>
  <c r="I23" i="315"/>
  <c r="H23" i="315"/>
  <c r="K20" i="315"/>
  <c r="J20" i="315"/>
  <c r="I20" i="315"/>
  <c r="H20" i="315"/>
  <c r="K17" i="315"/>
  <c r="J17" i="315"/>
  <c r="I17" i="315"/>
  <c r="H17" i="315"/>
  <c r="H15" i="315" s="1"/>
  <c r="G16" i="315"/>
  <c r="K15" i="315"/>
  <c r="J37" i="314"/>
  <c r="J76" i="314" s="1"/>
  <c r="J26" i="314"/>
  <c r="J65" i="314" s="1"/>
  <c r="J48" i="313"/>
  <c r="J37" i="313"/>
  <c r="J26" i="313"/>
  <c r="J48" i="312"/>
  <c r="J37" i="312"/>
  <c r="J26" i="312"/>
  <c r="J37" i="311"/>
  <c r="J48" i="311"/>
  <c r="J26" i="311"/>
  <c r="J26" i="310"/>
  <c r="J48" i="310"/>
  <c r="I15" i="315" l="1"/>
  <c r="J29" i="315"/>
  <c r="J68" i="315" s="1"/>
  <c r="H84" i="315"/>
  <c r="G20" i="315"/>
  <c r="J106" i="315"/>
  <c r="J104" i="315" s="1"/>
  <c r="J103" i="315" s="1"/>
  <c r="G139" i="315"/>
  <c r="J15" i="315"/>
  <c r="G40" i="315"/>
  <c r="H97" i="315"/>
  <c r="G97" i="315" s="1"/>
  <c r="G107" i="315"/>
  <c r="H128" i="315"/>
  <c r="H126" i="315" s="1"/>
  <c r="G130" i="315"/>
  <c r="J136" i="315"/>
  <c r="G17" i="315"/>
  <c r="G56" i="315"/>
  <c r="G59" i="315"/>
  <c r="G113" i="315"/>
  <c r="I149" i="315"/>
  <c r="G149" i="315" s="1"/>
  <c r="H52" i="315"/>
  <c r="G79" i="315"/>
  <c r="I34" i="315"/>
  <c r="G23" i="315"/>
  <c r="G64" i="315"/>
  <c r="I54" i="315"/>
  <c r="K150" i="315"/>
  <c r="K148" i="315" s="1"/>
  <c r="K146" i="315" s="1"/>
  <c r="K126" i="315"/>
  <c r="K124" i="315" s="1"/>
  <c r="K90" i="315"/>
  <c r="G137" i="315"/>
  <c r="I45" i="315"/>
  <c r="I84" i="315" s="1"/>
  <c r="H124" i="315"/>
  <c r="J126" i="315"/>
  <c r="J124" i="315" s="1"/>
  <c r="J150" i="315"/>
  <c r="J148" i="315" s="1"/>
  <c r="J146" i="315" s="1"/>
  <c r="J62" i="315"/>
  <c r="G62" i="315" s="1"/>
  <c r="G89" i="315"/>
  <c r="I73" i="315"/>
  <c r="G73" i="315" s="1"/>
  <c r="G15" i="315"/>
  <c r="G37" i="315"/>
  <c r="H136" i="315"/>
  <c r="G136" i="315" s="1"/>
  <c r="G132" i="315"/>
  <c r="H150" i="315"/>
  <c r="G26" i="315"/>
  <c r="K51" i="315"/>
  <c r="G51" i="315" s="1"/>
  <c r="H106" i="315"/>
  <c r="G29" i="315" l="1"/>
  <c r="G34" i="315"/>
  <c r="I128" i="315"/>
  <c r="G128" i="315" s="1"/>
  <c r="J54" i="315"/>
  <c r="G54" i="315" s="1"/>
  <c r="J30" i="315"/>
  <c r="G76" i="315"/>
  <c r="I91" i="315"/>
  <c r="I52" i="315"/>
  <c r="G68" i="315"/>
  <c r="I150" i="315"/>
  <c r="I148" i="315" s="1"/>
  <c r="I146" i="315" s="1"/>
  <c r="H148" i="315"/>
  <c r="J90" i="315"/>
  <c r="G90" i="315" s="1"/>
  <c r="G87" i="315"/>
  <c r="H91" i="315"/>
  <c r="H104" i="315"/>
  <c r="G106" i="315"/>
  <c r="J28" i="315" l="1"/>
  <c r="K31" i="315" s="1"/>
  <c r="K70" i="315" s="1"/>
  <c r="J69" i="315"/>
  <c r="I126" i="315"/>
  <c r="G126" i="315" s="1"/>
  <c r="G30" i="315"/>
  <c r="K45" i="315"/>
  <c r="K84" i="315" s="1"/>
  <c r="K28" i="315"/>
  <c r="G31" i="315"/>
  <c r="G69" i="315"/>
  <c r="J45" i="315"/>
  <c r="G150" i="315"/>
  <c r="I124" i="315"/>
  <c r="G124" i="315" s="1"/>
  <c r="G104" i="315"/>
  <c r="H103" i="315"/>
  <c r="G103" i="315" s="1"/>
  <c r="K67" i="315"/>
  <c r="G70" i="315"/>
  <c r="H146" i="315"/>
  <c r="G146" i="315" s="1"/>
  <c r="G148" i="315"/>
  <c r="J67" i="315"/>
  <c r="J52" i="315" l="1"/>
  <c r="J84" i="315"/>
  <c r="K52" i="315"/>
  <c r="G45" i="315"/>
  <c r="G28" i="315"/>
  <c r="G84" i="315"/>
  <c r="K91" i="315"/>
  <c r="G67" i="315"/>
  <c r="G52" i="315" l="1"/>
  <c r="J91" i="315"/>
  <c r="G91" i="315" s="1"/>
  <c r="J48" i="309" l="1"/>
  <c r="J26" i="309"/>
  <c r="F155" i="314" l="1"/>
  <c r="I152" i="314"/>
  <c r="F152" i="314"/>
  <c r="G147" i="314"/>
  <c r="G145" i="314"/>
  <c r="G144" i="314"/>
  <c r="G143" i="314"/>
  <c r="K142" i="314"/>
  <c r="J142" i="314"/>
  <c r="I142" i="314"/>
  <c r="H142" i="314"/>
  <c r="G141" i="314"/>
  <c r="G140" i="314"/>
  <c r="K139" i="314"/>
  <c r="J139" i="314"/>
  <c r="J137" i="314" s="1"/>
  <c r="J136" i="314" s="1"/>
  <c r="I139" i="314"/>
  <c r="I137" i="314" s="1"/>
  <c r="I136" i="314" s="1"/>
  <c r="H139" i="314"/>
  <c r="H137" i="314" s="1"/>
  <c r="G138" i="314"/>
  <c r="K137" i="314"/>
  <c r="K136" i="314"/>
  <c r="G135" i="314"/>
  <c r="G134" i="314"/>
  <c r="G133" i="314"/>
  <c r="K132" i="314"/>
  <c r="K130" i="314" s="1"/>
  <c r="J132" i="314"/>
  <c r="I132" i="314"/>
  <c r="I130" i="314" s="1"/>
  <c r="H132" i="314"/>
  <c r="H130" i="314" s="1"/>
  <c r="G132" i="314"/>
  <c r="G131" i="314"/>
  <c r="J130" i="314"/>
  <c r="I127" i="314"/>
  <c r="I149" i="314" s="1"/>
  <c r="G125" i="314"/>
  <c r="G123" i="314"/>
  <c r="G122" i="314"/>
  <c r="G121" i="314"/>
  <c r="K120" i="314"/>
  <c r="J120" i="314"/>
  <c r="I120" i="314"/>
  <c r="H120" i="314"/>
  <c r="G120" i="314" s="1"/>
  <c r="G119" i="314"/>
  <c r="G118" i="314"/>
  <c r="G117" i="314"/>
  <c r="G116" i="314"/>
  <c r="G115" i="314"/>
  <c r="G114" i="314"/>
  <c r="K113" i="314"/>
  <c r="J113" i="314"/>
  <c r="I113" i="314"/>
  <c r="H113" i="314"/>
  <c r="G112" i="314"/>
  <c r="G111" i="314"/>
  <c r="K110" i="314"/>
  <c r="J110" i="314"/>
  <c r="I110" i="314"/>
  <c r="G110" i="314" s="1"/>
  <c r="H110" i="314"/>
  <c r="G109" i="314"/>
  <c r="G108" i="314"/>
  <c r="K107" i="314"/>
  <c r="J107" i="314"/>
  <c r="J106" i="314" s="1"/>
  <c r="J104" i="314" s="1"/>
  <c r="I107" i="314"/>
  <c r="I106" i="314" s="1"/>
  <c r="I104" i="314" s="1"/>
  <c r="I103" i="314" s="1"/>
  <c r="H107" i="314"/>
  <c r="K106" i="314"/>
  <c r="K104" i="314" s="1"/>
  <c r="K103" i="314" s="1"/>
  <c r="G105" i="314"/>
  <c r="G102" i="314"/>
  <c r="G101" i="314"/>
  <c r="G100" i="314"/>
  <c r="K99" i="314"/>
  <c r="J99" i="314"/>
  <c r="J97" i="314" s="1"/>
  <c r="I99" i="314"/>
  <c r="I97" i="314" s="1"/>
  <c r="H99" i="314"/>
  <c r="G98" i="314"/>
  <c r="K97" i="314"/>
  <c r="G95" i="314"/>
  <c r="G94" i="314"/>
  <c r="G93" i="314"/>
  <c r="H90" i="314"/>
  <c r="G88" i="314"/>
  <c r="G86" i="314"/>
  <c r="G85" i="314"/>
  <c r="G83" i="314"/>
  <c r="G81" i="314"/>
  <c r="K79" i="314"/>
  <c r="K73" i="314" s="1"/>
  <c r="J79" i="314"/>
  <c r="I79" i="314"/>
  <c r="H79" i="314"/>
  <c r="G78" i="314"/>
  <c r="G77" i="314"/>
  <c r="G75" i="314"/>
  <c r="G74" i="314"/>
  <c r="J73" i="314"/>
  <c r="G72" i="314"/>
  <c r="G71" i="314"/>
  <c r="I67" i="314"/>
  <c r="H67" i="314"/>
  <c r="G65" i="314"/>
  <c r="I62" i="314"/>
  <c r="K62" i="314"/>
  <c r="J62" i="314"/>
  <c r="H62" i="314"/>
  <c r="K59" i="314"/>
  <c r="J59" i="314"/>
  <c r="I59" i="314"/>
  <c r="H59" i="314"/>
  <c r="G59" i="314" s="1"/>
  <c r="K56" i="314"/>
  <c r="J56" i="314"/>
  <c r="I56" i="314"/>
  <c r="I54" i="314" s="1"/>
  <c r="H56" i="314"/>
  <c r="G55" i="314"/>
  <c r="H51" i="314"/>
  <c r="K50" i="314"/>
  <c r="J50" i="314"/>
  <c r="J89" i="314" s="1"/>
  <c r="J90" i="314" s="1"/>
  <c r="I50" i="314"/>
  <c r="G49" i="314"/>
  <c r="G48" i="314"/>
  <c r="G47" i="314"/>
  <c r="G46" i="314"/>
  <c r="G44" i="314"/>
  <c r="G42" i="314"/>
  <c r="K40" i="314"/>
  <c r="K34" i="314" s="1"/>
  <c r="K128" i="314" s="1"/>
  <c r="J40" i="314"/>
  <c r="J34" i="314" s="1"/>
  <c r="J128" i="314" s="1"/>
  <c r="I40" i="314"/>
  <c r="H40" i="314"/>
  <c r="H34" i="314" s="1"/>
  <c r="G39" i="314"/>
  <c r="G38" i="314"/>
  <c r="I37" i="314"/>
  <c r="G36" i="314"/>
  <c r="G35" i="314"/>
  <c r="G33" i="314"/>
  <c r="G32" i="314"/>
  <c r="I28" i="314"/>
  <c r="H28" i="314"/>
  <c r="G26" i="314"/>
  <c r="G25" i="314"/>
  <c r="K23" i="314"/>
  <c r="G23" i="314" s="1"/>
  <c r="J23" i="314"/>
  <c r="I23" i="314"/>
  <c r="H23" i="314"/>
  <c r="K20" i="314"/>
  <c r="J20" i="314"/>
  <c r="I20" i="314"/>
  <c r="H20" i="314"/>
  <c r="K17" i="314"/>
  <c r="K15" i="314" s="1"/>
  <c r="J17" i="314"/>
  <c r="J15" i="314" s="1"/>
  <c r="I17" i="314"/>
  <c r="I15" i="314" s="1"/>
  <c r="H17" i="314"/>
  <c r="G16" i="314"/>
  <c r="H15" i="314" l="1"/>
  <c r="K89" i="314"/>
  <c r="K90" i="314" s="1"/>
  <c r="G56" i="314"/>
  <c r="K54" i="314"/>
  <c r="G107" i="314"/>
  <c r="G113" i="314"/>
  <c r="G37" i="314"/>
  <c r="I76" i="314"/>
  <c r="G99" i="314"/>
  <c r="G89" i="314"/>
  <c r="I89" i="314"/>
  <c r="J51" i="314"/>
  <c r="J54" i="314"/>
  <c r="J103" i="314"/>
  <c r="G142" i="314"/>
  <c r="G79" i="314"/>
  <c r="G62" i="314"/>
  <c r="K150" i="314"/>
  <c r="K148" i="314" s="1"/>
  <c r="K146" i="314" s="1"/>
  <c r="K126" i="314"/>
  <c r="K124" i="314" s="1"/>
  <c r="J150" i="314"/>
  <c r="J148" i="314" s="1"/>
  <c r="J146" i="314" s="1"/>
  <c r="J126" i="314"/>
  <c r="J124" i="314" s="1"/>
  <c r="G149" i="314"/>
  <c r="G137" i="314"/>
  <c r="H136" i="314"/>
  <c r="G136" i="314" s="1"/>
  <c r="G130" i="314"/>
  <c r="G15" i="314"/>
  <c r="H128" i="314"/>
  <c r="H45" i="314"/>
  <c r="H84" i="314" s="1"/>
  <c r="I90" i="314"/>
  <c r="G17" i="314"/>
  <c r="I34" i="314"/>
  <c r="I128" i="314" s="1"/>
  <c r="H54" i="314"/>
  <c r="G64" i="314"/>
  <c r="H73" i="314"/>
  <c r="G87" i="314"/>
  <c r="H97" i="314"/>
  <c r="G97" i="314" s="1"/>
  <c r="G20" i="314"/>
  <c r="G40" i="314"/>
  <c r="G50" i="314"/>
  <c r="K51" i="314"/>
  <c r="H106" i="314"/>
  <c r="G127" i="314"/>
  <c r="G139" i="314"/>
  <c r="I51" i="314"/>
  <c r="G34" i="314" l="1"/>
  <c r="G90" i="314"/>
  <c r="G51" i="314"/>
  <c r="G54" i="314"/>
  <c r="H150" i="314"/>
  <c r="H126" i="314"/>
  <c r="G128" i="314"/>
  <c r="J30" i="314"/>
  <c r="J69" i="314" s="1"/>
  <c r="I45" i="314"/>
  <c r="I84" i="314" s="1"/>
  <c r="G76" i="314"/>
  <c r="I73" i="314"/>
  <c r="G106" i="314"/>
  <c r="H104" i="314"/>
  <c r="J29" i="314"/>
  <c r="J68" i="314" s="1"/>
  <c r="H52" i="314"/>
  <c r="G104" i="314" l="1"/>
  <c r="H103" i="314"/>
  <c r="G103" i="314" s="1"/>
  <c r="H148" i="314"/>
  <c r="G69" i="314"/>
  <c r="G30" i="314"/>
  <c r="I91" i="314"/>
  <c r="I150" i="314"/>
  <c r="I148" i="314" s="1"/>
  <c r="I146" i="314" s="1"/>
  <c r="I126" i="314"/>
  <c r="I124" i="314" s="1"/>
  <c r="H91" i="314"/>
  <c r="I52" i="314"/>
  <c r="J28" i="314"/>
  <c r="G29" i="314"/>
  <c r="G73" i="314"/>
  <c r="H124" i="314"/>
  <c r="G124" i="314" s="1"/>
  <c r="G126" i="314" l="1"/>
  <c r="G150" i="314"/>
  <c r="G68" i="314"/>
  <c r="J67" i="314"/>
  <c r="G148" i="314"/>
  <c r="H146" i="314"/>
  <c r="G146" i="314" s="1"/>
  <c r="J45" i="314"/>
  <c r="J84" i="314" s="1"/>
  <c r="K31" i="314"/>
  <c r="K70" i="314" s="1"/>
  <c r="G31" i="314" l="1"/>
  <c r="K28" i="314"/>
  <c r="K45" i="314"/>
  <c r="K84" i="314" s="1"/>
  <c r="J91" i="314"/>
  <c r="J52" i="314"/>
  <c r="K52" i="314" l="1"/>
  <c r="G52" i="314" s="1"/>
  <c r="G28" i="314"/>
  <c r="G45" i="314"/>
  <c r="G84" i="314"/>
  <c r="G70" i="314"/>
  <c r="K67" i="314"/>
  <c r="K91" i="314" l="1"/>
  <c r="G91" i="314" s="1"/>
  <c r="G67" i="314"/>
  <c r="F155" i="313" l="1"/>
  <c r="I152" i="313"/>
  <c r="F152" i="313"/>
  <c r="G147" i="313"/>
  <c r="G145" i="313"/>
  <c r="G144" i="313"/>
  <c r="G143" i="313"/>
  <c r="K142" i="313"/>
  <c r="J142" i="313"/>
  <c r="I142" i="313"/>
  <c r="H142" i="313"/>
  <c r="G142" i="313" s="1"/>
  <c r="G141" i="313"/>
  <c r="G140" i="313"/>
  <c r="K139" i="313"/>
  <c r="K137" i="313" s="1"/>
  <c r="K136" i="313" s="1"/>
  <c r="J139" i="313"/>
  <c r="I139" i="313"/>
  <c r="I137" i="313" s="1"/>
  <c r="I136" i="313" s="1"/>
  <c r="H139" i="313"/>
  <c r="G138" i="313"/>
  <c r="J137" i="313"/>
  <c r="J136" i="313" s="1"/>
  <c r="H137" i="313"/>
  <c r="G135" i="313"/>
  <c r="G134" i="313"/>
  <c r="G133" i="313"/>
  <c r="K132" i="313"/>
  <c r="K130" i="313" s="1"/>
  <c r="J132" i="313"/>
  <c r="I132" i="313"/>
  <c r="I130" i="313" s="1"/>
  <c r="H132" i="313"/>
  <c r="H130" i="313" s="1"/>
  <c r="G131" i="313"/>
  <c r="J130" i="313"/>
  <c r="I127" i="313"/>
  <c r="I149" i="313" s="1"/>
  <c r="G125" i="313"/>
  <c r="G123" i="313"/>
  <c r="G122" i="313"/>
  <c r="G121" i="313"/>
  <c r="K120" i="313"/>
  <c r="J120" i="313"/>
  <c r="I120" i="313"/>
  <c r="H120" i="313"/>
  <c r="G120" i="313" s="1"/>
  <c r="G119" i="313"/>
  <c r="G118" i="313"/>
  <c r="G117" i="313"/>
  <c r="G116" i="313"/>
  <c r="G115" i="313"/>
  <c r="G114" i="313"/>
  <c r="K113" i="313"/>
  <c r="J113" i="313"/>
  <c r="I113" i="313"/>
  <c r="H113" i="313"/>
  <c r="G112" i="313"/>
  <c r="G111" i="313"/>
  <c r="K110" i="313"/>
  <c r="K106" i="313" s="1"/>
  <c r="K104" i="313" s="1"/>
  <c r="K103" i="313" s="1"/>
  <c r="J110" i="313"/>
  <c r="I110" i="313"/>
  <c r="H110" i="313"/>
  <c r="G109" i="313"/>
  <c r="G108" i="313"/>
  <c r="K107" i="313"/>
  <c r="J107" i="313"/>
  <c r="I107" i="313"/>
  <c r="I106" i="313" s="1"/>
  <c r="I104" i="313" s="1"/>
  <c r="I103" i="313" s="1"/>
  <c r="H107" i="313"/>
  <c r="G105" i="313"/>
  <c r="G102" i="313"/>
  <c r="G101" i="313"/>
  <c r="G100" i="313"/>
  <c r="K99" i="313"/>
  <c r="J99" i="313"/>
  <c r="J97" i="313" s="1"/>
  <c r="I99" i="313"/>
  <c r="I97" i="313" s="1"/>
  <c r="H99" i="313"/>
  <c r="G99" i="313" s="1"/>
  <c r="G98" i="313"/>
  <c r="K97" i="313"/>
  <c r="G95" i="313"/>
  <c r="G94" i="313"/>
  <c r="G93" i="313"/>
  <c r="G88" i="313"/>
  <c r="K87" i="313"/>
  <c r="J87" i="313"/>
  <c r="I87" i="313"/>
  <c r="H87" i="313"/>
  <c r="H90" i="313" s="1"/>
  <c r="G86" i="313"/>
  <c r="G85" i="313"/>
  <c r="G83" i="313"/>
  <c r="I81" i="313"/>
  <c r="G81" i="313" s="1"/>
  <c r="K79" i="313"/>
  <c r="J79" i="313"/>
  <c r="I79" i="313"/>
  <c r="H79" i="313"/>
  <c r="G78" i="313"/>
  <c r="G77" i="313"/>
  <c r="K76" i="313"/>
  <c r="K73" i="313" s="1"/>
  <c r="J76" i="313"/>
  <c r="H76" i="313"/>
  <c r="G75" i="313"/>
  <c r="G74" i="313"/>
  <c r="J73" i="313"/>
  <c r="G72" i="313"/>
  <c r="G71" i="313"/>
  <c r="I67" i="313"/>
  <c r="H67" i="313"/>
  <c r="J65" i="313"/>
  <c r="G65" i="313" s="1"/>
  <c r="J64" i="313"/>
  <c r="I64" i="313"/>
  <c r="I62" i="313" s="1"/>
  <c r="H64" i="313"/>
  <c r="H62" i="313" s="1"/>
  <c r="K62" i="313"/>
  <c r="K59" i="313"/>
  <c r="K54" i="313" s="1"/>
  <c r="J59" i="313"/>
  <c r="I59" i="313"/>
  <c r="H59" i="313"/>
  <c r="G59" i="313"/>
  <c r="K56" i="313"/>
  <c r="J56" i="313"/>
  <c r="I56" i="313"/>
  <c r="H56" i="313"/>
  <c r="G55" i="313"/>
  <c r="J51" i="313"/>
  <c r="H51" i="313"/>
  <c r="K50" i="313"/>
  <c r="K89" i="313" s="1"/>
  <c r="K90" i="313" s="1"/>
  <c r="J50" i="313"/>
  <c r="J89" i="313" s="1"/>
  <c r="I50" i="313"/>
  <c r="I89" i="313" s="1"/>
  <c r="G49" i="313"/>
  <c r="G48" i="313"/>
  <c r="G47" i="313"/>
  <c r="G46" i="313"/>
  <c r="G44" i="313"/>
  <c r="G42" i="313"/>
  <c r="K40" i="313"/>
  <c r="J40" i="313"/>
  <c r="J34" i="313" s="1"/>
  <c r="J128" i="313" s="1"/>
  <c r="I40" i="313"/>
  <c r="H40" i="313"/>
  <c r="H34" i="313" s="1"/>
  <c r="G39" i="313"/>
  <c r="G38" i="313"/>
  <c r="I37" i="313"/>
  <c r="G37" i="313" s="1"/>
  <c r="G36" i="313"/>
  <c r="G35" i="313"/>
  <c r="K34" i="313"/>
  <c r="K128" i="313" s="1"/>
  <c r="G33" i="313"/>
  <c r="G32" i="313"/>
  <c r="I28" i="313"/>
  <c r="H28" i="313"/>
  <c r="G26" i="313"/>
  <c r="G25" i="313"/>
  <c r="K23" i="313"/>
  <c r="J23" i="313"/>
  <c r="I23" i="313"/>
  <c r="H23" i="313"/>
  <c r="K20" i="313"/>
  <c r="J20" i="313"/>
  <c r="I20" i="313"/>
  <c r="H20" i="313"/>
  <c r="H15" i="313" s="1"/>
  <c r="K17" i="313"/>
  <c r="J17" i="313"/>
  <c r="I17" i="313"/>
  <c r="H17" i="313"/>
  <c r="G16" i="313"/>
  <c r="K15" i="313"/>
  <c r="G17" i="313" l="1"/>
  <c r="I54" i="313"/>
  <c r="G87" i="313"/>
  <c r="J106" i="313"/>
  <c r="J104" i="313" s="1"/>
  <c r="J103" i="313" s="1"/>
  <c r="G110" i="313"/>
  <c r="G132" i="313"/>
  <c r="H73" i="313"/>
  <c r="G107" i="313"/>
  <c r="G113" i="313"/>
  <c r="G130" i="313"/>
  <c r="G137" i="313"/>
  <c r="G139" i="313"/>
  <c r="H54" i="313"/>
  <c r="G23" i="313"/>
  <c r="J62" i="313"/>
  <c r="J54" i="313" s="1"/>
  <c r="G54" i="313" s="1"/>
  <c r="J15" i="313"/>
  <c r="J90" i="313"/>
  <c r="G149" i="313"/>
  <c r="K126" i="313"/>
  <c r="K124" i="313" s="1"/>
  <c r="K150" i="313"/>
  <c r="K148" i="313" s="1"/>
  <c r="K146" i="313" s="1"/>
  <c r="G89" i="313"/>
  <c r="H128" i="313"/>
  <c r="H45" i="313"/>
  <c r="J150" i="313"/>
  <c r="J148" i="313" s="1"/>
  <c r="J146" i="313" s="1"/>
  <c r="J126" i="313"/>
  <c r="J124" i="313" s="1"/>
  <c r="I15" i="313"/>
  <c r="I34" i="313"/>
  <c r="G64" i="313"/>
  <c r="I76" i="313"/>
  <c r="I90" i="313"/>
  <c r="H97" i="313"/>
  <c r="G97" i="313" s="1"/>
  <c r="G20" i="313"/>
  <c r="G40" i="313"/>
  <c r="G50" i="313"/>
  <c r="K51" i="313"/>
  <c r="G56" i="313"/>
  <c r="G79" i="313"/>
  <c r="H106" i="313"/>
  <c r="G127" i="313"/>
  <c r="I51" i="313"/>
  <c r="H136" i="313"/>
  <c r="G136" i="313" s="1"/>
  <c r="G51" i="313" l="1"/>
  <c r="G90" i="313"/>
  <c r="G62" i="313"/>
  <c r="H104" i="313"/>
  <c r="G106" i="313"/>
  <c r="I45" i="313"/>
  <c r="I84" i="313" s="1"/>
  <c r="I52" i="313"/>
  <c r="G76" i="313"/>
  <c r="I73" i="313"/>
  <c r="H150" i="313"/>
  <c r="H126" i="313"/>
  <c r="J29" i="313"/>
  <c r="H84" i="313"/>
  <c r="G15" i="313"/>
  <c r="I128" i="313"/>
  <c r="G128" i="313" s="1"/>
  <c r="J30" i="313"/>
  <c r="G34" i="313"/>
  <c r="H52" i="313"/>
  <c r="H148" i="313" l="1"/>
  <c r="G30" i="313"/>
  <c r="J69" i="313"/>
  <c r="G69" i="313" s="1"/>
  <c r="H91" i="313"/>
  <c r="I150" i="313"/>
  <c r="I148" i="313" s="1"/>
  <c r="I146" i="313" s="1"/>
  <c r="I126" i="313"/>
  <c r="I124" i="313" s="1"/>
  <c r="J28" i="313"/>
  <c r="G29" i="313"/>
  <c r="J68" i="313"/>
  <c r="I91" i="313"/>
  <c r="G73" i="313"/>
  <c r="H124" i="313"/>
  <c r="G124" i="313" s="1"/>
  <c r="G104" i="313"/>
  <c r="H103" i="313"/>
  <c r="G103" i="313" s="1"/>
  <c r="G126" i="313" l="1"/>
  <c r="G68" i="313"/>
  <c r="J67" i="313"/>
  <c r="G150" i="313"/>
  <c r="J45" i="313"/>
  <c r="J52" i="313" s="1"/>
  <c r="K31" i="313"/>
  <c r="G148" i="313"/>
  <c r="H146" i="313"/>
  <c r="G146" i="313" s="1"/>
  <c r="K45" i="313" l="1"/>
  <c r="K84" i="313" s="1"/>
  <c r="K28" i="313"/>
  <c r="K70" i="313"/>
  <c r="G31" i="313"/>
  <c r="J84" i="313"/>
  <c r="G84" i="313" s="1"/>
  <c r="G45" i="313" l="1"/>
  <c r="G70" i="313"/>
  <c r="K67" i="313"/>
  <c r="J91" i="313"/>
  <c r="K52" i="313"/>
  <c r="G52" i="313" s="1"/>
  <c r="G28" i="313"/>
  <c r="K91" i="313" l="1"/>
  <c r="G91" i="313" s="1"/>
  <c r="G67" i="313"/>
  <c r="J48" i="308" l="1"/>
  <c r="J37" i="308"/>
  <c r="J26" i="308"/>
  <c r="J48" i="294"/>
  <c r="J37" i="294"/>
  <c r="J26" i="294"/>
  <c r="F155" i="312" l="1"/>
  <c r="I152" i="312"/>
  <c r="F152" i="312"/>
  <c r="G147" i="312"/>
  <c r="G145" i="312"/>
  <c r="G144" i="312"/>
  <c r="G143" i="312"/>
  <c r="K142" i="312"/>
  <c r="J142" i="312"/>
  <c r="I142" i="312"/>
  <c r="H142" i="312"/>
  <c r="G141" i="312"/>
  <c r="G140" i="312"/>
  <c r="K139" i="312"/>
  <c r="J139" i="312"/>
  <c r="J137" i="312" s="1"/>
  <c r="J136" i="312" s="1"/>
  <c r="I139" i="312"/>
  <c r="I137" i="312" s="1"/>
  <c r="H139" i="312"/>
  <c r="H137" i="312" s="1"/>
  <c r="G138" i="312"/>
  <c r="K137" i="312"/>
  <c r="K136" i="312"/>
  <c r="G135" i="312"/>
  <c r="G134" i="312"/>
  <c r="G133" i="312"/>
  <c r="K132" i="312"/>
  <c r="K130" i="312" s="1"/>
  <c r="J132" i="312"/>
  <c r="I132" i="312"/>
  <c r="I130" i="312" s="1"/>
  <c r="H132" i="312"/>
  <c r="H130" i="312" s="1"/>
  <c r="G132" i="312"/>
  <c r="G131" i="312"/>
  <c r="J130" i="312"/>
  <c r="I127" i="312"/>
  <c r="I149" i="312" s="1"/>
  <c r="G125" i="312"/>
  <c r="G123" i="312"/>
  <c r="G122" i="312"/>
  <c r="G121" i="312"/>
  <c r="K120" i="312"/>
  <c r="J120" i="312"/>
  <c r="I120" i="312"/>
  <c r="H120" i="312"/>
  <c r="G120" i="312" s="1"/>
  <c r="G119" i="312"/>
  <c r="G118" i="312"/>
  <c r="G117" i="312"/>
  <c r="G116" i="312"/>
  <c r="G115" i="312"/>
  <c r="G114" i="312"/>
  <c r="K113" i="312"/>
  <c r="J113" i="312"/>
  <c r="I113" i="312"/>
  <c r="H113" i="312"/>
  <c r="G112" i="312"/>
  <c r="G111" i="312"/>
  <c r="K110" i="312"/>
  <c r="J110" i="312"/>
  <c r="I110" i="312"/>
  <c r="G110" i="312" s="1"/>
  <c r="H110" i="312"/>
  <c r="G109" i="312"/>
  <c r="G108" i="312"/>
  <c r="K107" i="312"/>
  <c r="J107" i="312"/>
  <c r="J106" i="312" s="1"/>
  <c r="J104" i="312" s="1"/>
  <c r="I107" i="312"/>
  <c r="I106" i="312" s="1"/>
  <c r="I104" i="312" s="1"/>
  <c r="I103" i="312" s="1"/>
  <c r="H107" i="312"/>
  <c r="K106" i="312"/>
  <c r="K104" i="312" s="1"/>
  <c r="K103" i="312" s="1"/>
  <c r="G105" i="312"/>
  <c r="G102" i="312"/>
  <c r="G101" i="312"/>
  <c r="G100" i="312"/>
  <c r="K99" i="312"/>
  <c r="J99" i="312"/>
  <c r="J97" i="312" s="1"/>
  <c r="I99" i="312"/>
  <c r="I97" i="312" s="1"/>
  <c r="H99" i="312"/>
  <c r="G98" i="312"/>
  <c r="K97" i="312"/>
  <c r="G95" i="312"/>
  <c r="G94" i="312"/>
  <c r="G93" i="312"/>
  <c r="H90" i="312"/>
  <c r="G88" i="312"/>
  <c r="K87" i="312"/>
  <c r="J87" i="312"/>
  <c r="I87" i="312"/>
  <c r="H87" i="312"/>
  <c r="G86" i="312"/>
  <c r="G85" i="312"/>
  <c r="G83" i="312"/>
  <c r="I81" i="312"/>
  <c r="G81" i="312"/>
  <c r="K79" i="312"/>
  <c r="J79" i="312"/>
  <c r="I79" i="312"/>
  <c r="H79" i="312"/>
  <c r="G79" i="312" s="1"/>
  <c r="G78" i="312"/>
  <c r="G77" i="312"/>
  <c r="K76" i="312"/>
  <c r="K73" i="312" s="1"/>
  <c r="J76" i="312"/>
  <c r="H76" i="312"/>
  <c r="G75" i="312"/>
  <c r="G74" i="312"/>
  <c r="J73" i="312"/>
  <c r="G72" i="312"/>
  <c r="G71" i="312"/>
  <c r="I67" i="312"/>
  <c r="H67" i="312"/>
  <c r="J65" i="312"/>
  <c r="J64" i="312"/>
  <c r="I64" i="312"/>
  <c r="I62" i="312" s="1"/>
  <c r="H64" i="312"/>
  <c r="H62" i="312" s="1"/>
  <c r="K62" i="312"/>
  <c r="K59" i="312"/>
  <c r="J59" i="312"/>
  <c r="I59" i="312"/>
  <c r="H59" i="312"/>
  <c r="G59" i="312" s="1"/>
  <c r="K56" i="312"/>
  <c r="J56" i="312"/>
  <c r="I56" i="312"/>
  <c r="I54" i="312" s="1"/>
  <c r="H56" i="312"/>
  <c r="G55" i="312"/>
  <c r="H51" i="312"/>
  <c r="K50" i="312"/>
  <c r="K89" i="312" s="1"/>
  <c r="J50" i="312"/>
  <c r="J51" i="312" s="1"/>
  <c r="I50" i="312"/>
  <c r="I89" i="312" s="1"/>
  <c r="G49" i="312"/>
  <c r="G48" i="312"/>
  <c r="G47" i="312"/>
  <c r="G46" i="312"/>
  <c r="G44" i="312"/>
  <c r="G42" i="312"/>
  <c r="K40" i="312"/>
  <c r="K34" i="312" s="1"/>
  <c r="K128" i="312" s="1"/>
  <c r="J40" i="312"/>
  <c r="J34" i="312" s="1"/>
  <c r="J128" i="312" s="1"/>
  <c r="I40" i="312"/>
  <c r="H40" i="312"/>
  <c r="H34" i="312" s="1"/>
  <c r="G39" i="312"/>
  <c r="G38" i="312"/>
  <c r="I37" i="312"/>
  <c r="G37" i="312" s="1"/>
  <c r="G36" i="312"/>
  <c r="G35" i="312"/>
  <c r="G33" i="312"/>
  <c r="G32" i="312"/>
  <c r="I28" i="312"/>
  <c r="H28" i="312"/>
  <c r="G26" i="312"/>
  <c r="G25" i="312"/>
  <c r="K23" i="312"/>
  <c r="J23" i="312"/>
  <c r="I23" i="312"/>
  <c r="H23" i="312"/>
  <c r="K20" i="312"/>
  <c r="J20" i="312"/>
  <c r="I20" i="312"/>
  <c r="H20" i="312"/>
  <c r="K17" i="312"/>
  <c r="K15" i="312" s="1"/>
  <c r="J17" i="312"/>
  <c r="I17" i="312"/>
  <c r="I15" i="312" s="1"/>
  <c r="H17" i="312"/>
  <c r="G16" i="312"/>
  <c r="H15" i="312" l="1"/>
  <c r="K90" i="312"/>
  <c r="G56" i="312"/>
  <c r="K54" i="312"/>
  <c r="G107" i="312"/>
  <c r="G113" i="312"/>
  <c r="I136" i="312"/>
  <c r="J89" i="312"/>
  <c r="G99" i="312"/>
  <c r="G23" i="312"/>
  <c r="G89" i="312"/>
  <c r="J62" i="312"/>
  <c r="J54" i="312" s="1"/>
  <c r="J90" i="312"/>
  <c r="J103" i="312"/>
  <c r="G142" i="312"/>
  <c r="G62" i="312"/>
  <c r="J15" i="312"/>
  <c r="G15" i="312" s="1"/>
  <c r="G65" i="312"/>
  <c r="K126" i="312"/>
  <c r="K124" i="312" s="1"/>
  <c r="K150" i="312"/>
  <c r="K148" i="312" s="1"/>
  <c r="K146" i="312" s="1"/>
  <c r="J150" i="312"/>
  <c r="J148" i="312" s="1"/>
  <c r="J146" i="312" s="1"/>
  <c r="J126" i="312"/>
  <c r="J124" i="312" s="1"/>
  <c r="G149" i="312"/>
  <c r="G137" i="312"/>
  <c r="H136" i="312"/>
  <c r="G136" i="312" s="1"/>
  <c r="G130" i="312"/>
  <c r="H128" i="312"/>
  <c r="H45" i="312"/>
  <c r="I90" i="312"/>
  <c r="G90" i="312" s="1"/>
  <c r="G17" i="312"/>
  <c r="I34" i="312"/>
  <c r="G34" i="312" s="1"/>
  <c r="H54" i="312"/>
  <c r="G64" i="312"/>
  <c r="H73" i="312"/>
  <c r="I76" i="312"/>
  <c r="G87" i="312"/>
  <c r="H97" i="312"/>
  <c r="G97" i="312" s="1"/>
  <c r="G20" i="312"/>
  <c r="G40" i="312"/>
  <c r="G50" i="312"/>
  <c r="K51" i="312"/>
  <c r="H106" i="312"/>
  <c r="G127" i="312"/>
  <c r="G139" i="312"/>
  <c r="I51" i="312"/>
  <c r="G51" i="312" s="1"/>
  <c r="I45" i="312" l="1"/>
  <c r="I84" i="312" s="1"/>
  <c r="J29" i="312"/>
  <c r="H84" i="312"/>
  <c r="H91" i="312" s="1"/>
  <c r="G54" i="312"/>
  <c r="H52" i="312"/>
  <c r="G76" i="312"/>
  <c r="I73" i="312"/>
  <c r="I128" i="312"/>
  <c r="G128" i="312" s="1"/>
  <c r="J30" i="312"/>
  <c r="H150" i="312"/>
  <c r="H126" i="312"/>
  <c r="G106" i="312"/>
  <c r="H104" i="312"/>
  <c r="G73" i="312"/>
  <c r="I91" i="312" l="1"/>
  <c r="I52" i="312"/>
  <c r="H124" i="312"/>
  <c r="I150" i="312"/>
  <c r="I148" i="312" s="1"/>
  <c r="I146" i="312" s="1"/>
  <c r="I126" i="312"/>
  <c r="I124" i="312" s="1"/>
  <c r="H148" i="312"/>
  <c r="G150" i="312"/>
  <c r="G104" i="312"/>
  <c r="H103" i="312"/>
  <c r="G103" i="312" s="1"/>
  <c r="G30" i="312"/>
  <c r="J69" i="312"/>
  <c r="G69" i="312" s="1"/>
  <c r="J68" i="312"/>
  <c r="J28" i="312"/>
  <c r="G29" i="312"/>
  <c r="J45" i="312" l="1"/>
  <c r="K31" i="312"/>
  <c r="G124" i="312"/>
  <c r="G68" i="312"/>
  <c r="J67" i="312"/>
  <c r="G148" i="312"/>
  <c r="H146" i="312"/>
  <c r="G146" i="312" s="1"/>
  <c r="G126" i="312"/>
  <c r="J84" i="312" l="1"/>
  <c r="J91" i="312" s="1"/>
  <c r="J52" i="312"/>
  <c r="K70" i="312"/>
  <c r="G31" i="312"/>
  <c r="K28" i="312"/>
  <c r="K45" i="312"/>
  <c r="K84" i="312" s="1"/>
  <c r="G84" i="312" l="1"/>
  <c r="K52" i="312"/>
  <c r="G52" i="312" s="1"/>
  <c r="G28" i="312"/>
  <c r="G70" i="312"/>
  <c r="K67" i="312"/>
  <c r="G45" i="312"/>
  <c r="K91" i="312" l="1"/>
  <c r="G91" i="312" s="1"/>
  <c r="G67" i="312"/>
  <c r="F155" i="311" l="1"/>
  <c r="I152" i="311"/>
  <c r="F152" i="311"/>
  <c r="G147" i="311"/>
  <c r="G145" i="311"/>
  <c r="G144" i="311"/>
  <c r="G143" i="311"/>
  <c r="K142" i="311"/>
  <c r="J142" i="311"/>
  <c r="I142" i="311"/>
  <c r="H142" i="311"/>
  <c r="G142" i="311" s="1"/>
  <c r="G141" i="311"/>
  <c r="G140" i="311"/>
  <c r="K139" i="311"/>
  <c r="K137" i="311" s="1"/>
  <c r="J139" i="311"/>
  <c r="J137" i="311" s="1"/>
  <c r="I139" i="311"/>
  <c r="I137" i="311" s="1"/>
  <c r="I136" i="311" s="1"/>
  <c r="H139" i="311"/>
  <c r="G138" i="311"/>
  <c r="H137" i="311"/>
  <c r="G135" i="311"/>
  <c r="G134" i="311"/>
  <c r="G133" i="311"/>
  <c r="K132" i="311"/>
  <c r="K130" i="311" s="1"/>
  <c r="J132" i="311"/>
  <c r="I132" i="311"/>
  <c r="I130" i="311" s="1"/>
  <c r="H132" i="311"/>
  <c r="H130" i="311" s="1"/>
  <c r="G131" i="311"/>
  <c r="J130" i="311"/>
  <c r="I127" i="311"/>
  <c r="G127" i="311" s="1"/>
  <c r="G125" i="311"/>
  <c r="G123" i="311"/>
  <c r="G122" i="311"/>
  <c r="G121" i="311"/>
  <c r="K120" i="311"/>
  <c r="J120" i="311"/>
  <c r="I120" i="311"/>
  <c r="H120" i="311"/>
  <c r="G119" i="311"/>
  <c r="G118" i="311"/>
  <c r="G117" i="311"/>
  <c r="G116" i="311"/>
  <c r="G115" i="311"/>
  <c r="G114" i="311"/>
  <c r="K113" i="311"/>
  <c r="J113" i="311"/>
  <c r="I113" i="311"/>
  <c r="H113" i="311"/>
  <c r="G112" i="311"/>
  <c r="G111" i="311"/>
  <c r="K110" i="311"/>
  <c r="K106" i="311" s="1"/>
  <c r="K104" i="311" s="1"/>
  <c r="K103" i="311" s="1"/>
  <c r="J110" i="311"/>
  <c r="I110" i="311"/>
  <c r="H110" i="311"/>
  <c r="G110" i="311"/>
  <c r="G109" i="311"/>
  <c r="G108" i="311"/>
  <c r="K107" i="311"/>
  <c r="J107" i="311"/>
  <c r="J106" i="311" s="1"/>
  <c r="J104" i="311" s="1"/>
  <c r="J103" i="311" s="1"/>
  <c r="I107" i="311"/>
  <c r="H107" i="311"/>
  <c r="I106" i="311"/>
  <c r="I104" i="311" s="1"/>
  <c r="I103" i="311" s="1"/>
  <c r="G105" i="311"/>
  <c r="G102" i="311"/>
  <c r="G101" i="311"/>
  <c r="G100" i="311"/>
  <c r="K99" i="311"/>
  <c r="K97" i="311" s="1"/>
  <c r="J99" i="311"/>
  <c r="J97" i="311" s="1"/>
  <c r="I99" i="311"/>
  <c r="I97" i="311" s="1"/>
  <c r="H99" i="311"/>
  <c r="G98" i="311"/>
  <c r="H97" i="311"/>
  <c r="G95" i="311"/>
  <c r="G94" i="311"/>
  <c r="G93" i="311"/>
  <c r="J89" i="311"/>
  <c r="G88" i="311"/>
  <c r="K87" i="311"/>
  <c r="J87" i="311"/>
  <c r="I87" i="311"/>
  <c r="H87" i="311"/>
  <c r="H90" i="311" s="1"/>
  <c r="G86" i="311"/>
  <c r="G85" i="311"/>
  <c r="G83" i="311"/>
  <c r="I81" i="311"/>
  <c r="G81" i="311"/>
  <c r="K79" i="311"/>
  <c r="J79" i="311"/>
  <c r="I79" i="311"/>
  <c r="H79" i="311"/>
  <c r="G78" i="311"/>
  <c r="G77" i="311"/>
  <c r="K76" i="311"/>
  <c r="K73" i="311" s="1"/>
  <c r="J76" i="311"/>
  <c r="H76" i="311"/>
  <c r="G75" i="311"/>
  <c r="G74" i="311"/>
  <c r="H73" i="311"/>
  <c r="G72" i="311"/>
  <c r="G71" i="311"/>
  <c r="I67" i="311"/>
  <c r="H67" i="311"/>
  <c r="J65" i="311"/>
  <c r="G65" i="311"/>
  <c r="J64" i="311"/>
  <c r="I64" i="311"/>
  <c r="I62" i="311" s="1"/>
  <c r="H64" i="311"/>
  <c r="G64" i="311"/>
  <c r="K62" i="311"/>
  <c r="J62" i="311"/>
  <c r="H62" i="311"/>
  <c r="K59" i="311"/>
  <c r="J59" i="311"/>
  <c r="I59" i="311"/>
  <c r="H59" i="311"/>
  <c r="K56" i="311"/>
  <c r="J56" i="311"/>
  <c r="I56" i="311"/>
  <c r="H56" i="311"/>
  <c r="G55" i="311"/>
  <c r="H54" i="311"/>
  <c r="J51" i="311"/>
  <c r="H51" i="311"/>
  <c r="K50" i="311"/>
  <c r="K89" i="311" s="1"/>
  <c r="J50" i="311"/>
  <c r="I50" i="311"/>
  <c r="I89" i="311" s="1"/>
  <c r="G49" i="311"/>
  <c r="G48" i="311"/>
  <c r="G47" i="311"/>
  <c r="G46" i="311"/>
  <c r="G44" i="311"/>
  <c r="G42" i="311"/>
  <c r="K40" i="311"/>
  <c r="J40" i="311"/>
  <c r="J34" i="311" s="1"/>
  <c r="J128" i="311" s="1"/>
  <c r="I40" i="311"/>
  <c r="H40" i="311"/>
  <c r="H34" i="311" s="1"/>
  <c r="G39" i="311"/>
  <c r="G38" i="311"/>
  <c r="I37" i="311"/>
  <c r="I76" i="311" s="1"/>
  <c r="G36" i="311"/>
  <c r="G35" i="311"/>
  <c r="K34" i="311"/>
  <c r="K128" i="311" s="1"/>
  <c r="I34" i="311"/>
  <c r="I128" i="311" s="1"/>
  <c r="G33" i="311"/>
  <c r="G32" i="311"/>
  <c r="I28" i="311"/>
  <c r="H28" i="311"/>
  <c r="G26" i="311"/>
  <c r="G25" i="311"/>
  <c r="K23" i="311"/>
  <c r="J23" i="311"/>
  <c r="I23" i="311"/>
  <c r="H23" i="311"/>
  <c r="K20" i="311"/>
  <c r="J20" i="311"/>
  <c r="I20" i="311"/>
  <c r="H20" i="311"/>
  <c r="K17" i="311"/>
  <c r="K15" i="311" s="1"/>
  <c r="J17" i="311"/>
  <c r="I17" i="311"/>
  <c r="H17" i="311"/>
  <c r="G16" i="311"/>
  <c r="I15" i="311"/>
  <c r="I45" i="311" s="1"/>
  <c r="I84" i="311" s="1"/>
  <c r="D9" i="311"/>
  <c r="J15" i="311" l="1"/>
  <c r="G56" i="311"/>
  <c r="J90" i="311"/>
  <c r="G130" i="311"/>
  <c r="J136" i="311"/>
  <c r="K136" i="311"/>
  <c r="G59" i="311"/>
  <c r="G79" i="311"/>
  <c r="G107" i="311"/>
  <c r="G120" i="311"/>
  <c r="G17" i="311"/>
  <c r="H15" i="311"/>
  <c r="J54" i="311"/>
  <c r="G99" i="311"/>
  <c r="G113" i="311"/>
  <c r="G139" i="311"/>
  <c r="G23" i="311"/>
  <c r="K54" i="311"/>
  <c r="G97" i="311"/>
  <c r="G137" i="311"/>
  <c r="J73" i="311"/>
  <c r="G62" i="311"/>
  <c r="G34" i="311"/>
  <c r="H45" i="311"/>
  <c r="H52" i="311" s="1"/>
  <c r="H128" i="311"/>
  <c r="I150" i="311"/>
  <c r="I126" i="311"/>
  <c r="I124" i="311" s="1"/>
  <c r="G76" i="311"/>
  <c r="I73" i="311"/>
  <c r="G73" i="311" s="1"/>
  <c r="K150" i="311"/>
  <c r="K148" i="311" s="1"/>
  <c r="K146" i="311" s="1"/>
  <c r="K126" i="311"/>
  <c r="K124" i="311" s="1"/>
  <c r="J126" i="311"/>
  <c r="J124" i="311" s="1"/>
  <c r="J150" i="311"/>
  <c r="J148" i="311" s="1"/>
  <c r="J146" i="311" s="1"/>
  <c r="I90" i="311"/>
  <c r="G89" i="311"/>
  <c r="K90" i="311"/>
  <c r="G15" i="311"/>
  <c r="I52" i="311"/>
  <c r="G87" i="311"/>
  <c r="I149" i="311"/>
  <c r="G20" i="311"/>
  <c r="J30" i="311"/>
  <c r="G37" i="311"/>
  <c r="G40" i="311"/>
  <c r="G50" i="311"/>
  <c r="K51" i="311"/>
  <c r="I54" i="311"/>
  <c r="I91" i="311" s="1"/>
  <c r="H106" i="311"/>
  <c r="G132" i="311"/>
  <c r="I51" i="311"/>
  <c r="G51" i="311" s="1"/>
  <c r="H136" i="311"/>
  <c r="G136" i="311" s="1"/>
  <c r="G54" i="311" l="1"/>
  <c r="G90" i="311"/>
  <c r="G106" i="311"/>
  <c r="H104" i="311"/>
  <c r="G149" i="311"/>
  <c r="I148" i="311"/>
  <c r="I146" i="311" s="1"/>
  <c r="J29" i="311"/>
  <c r="H84" i="311"/>
  <c r="J69" i="311"/>
  <c r="G69" i="311" s="1"/>
  <c r="G30" i="311"/>
  <c r="G128" i="311"/>
  <c r="H150" i="311"/>
  <c r="H126" i="311"/>
  <c r="H148" i="311" l="1"/>
  <c r="G150" i="311"/>
  <c r="H91" i="311"/>
  <c r="G104" i="311"/>
  <c r="H103" i="311"/>
  <c r="G103" i="311" s="1"/>
  <c r="J28" i="311"/>
  <c r="G29" i="311"/>
  <c r="J68" i="311"/>
  <c r="H124" i="311"/>
  <c r="G124" i="311" s="1"/>
  <c r="G126" i="311"/>
  <c r="K31" i="311" l="1"/>
  <c r="J45" i="311"/>
  <c r="J52" i="311" s="1"/>
  <c r="G68" i="311"/>
  <c r="J67" i="311"/>
  <c r="G148" i="311"/>
  <c r="H146" i="311"/>
  <c r="G146" i="311" s="1"/>
  <c r="K45" i="311" l="1"/>
  <c r="K84" i="311" s="1"/>
  <c r="G31" i="311"/>
  <c r="K28" i="311"/>
  <c r="K70" i="311"/>
  <c r="J84" i="311"/>
  <c r="K52" i="311" l="1"/>
  <c r="G52" i="311" s="1"/>
  <c r="G28" i="311"/>
  <c r="G84" i="311"/>
  <c r="J91" i="311"/>
  <c r="G45" i="311"/>
  <c r="G70" i="311"/>
  <c r="K67" i="311"/>
  <c r="K91" i="311" l="1"/>
  <c r="G91" i="311" s="1"/>
  <c r="G67" i="311"/>
  <c r="F155" i="310" l="1"/>
  <c r="I152" i="310"/>
  <c r="F152" i="310"/>
  <c r="G147" i="310"/>
  <c r="G145" i="310"/>
  <c r="G144" i="310"/>
  <c r="G143" i="310"/>
  <c r="K142" i="310"/>
  <c r="J142" i="310"/>
  <c r="I142" i="310"/>
  <c r="H142" i="310"/>
  <c r="G142" i="310" s="1"/>
  <c r="G141" i="310"/>
  <c r="G140" i="310"/>
  <c r="K139" i="310"/>
  <c r="K137" i="310" s="1"/>
  <c r="K136" i="310" s="1"/>
  <c r="J139" i="310"/>
  <c r="J137" i="310" s="1"/>
  <c r="I139" i="310"/>
  <c r="I137" i="310" s="1"/>
  <c r="I136" i="310" s="1"/>
  <c r="H139" i="310"/>
  <c r="G138" i="310"/>
  <c r="H137" i="310"/>
  <c r="G135" i="310"/>
  <c r="G134" i="310"/>
  <c r="G133" i="310"/>
  <c r="K132" i="310"/>
  <c r="J132" i="310"/>
  <c r="J130" i="310" s="1"/>
  <c r="I132" i="310"/>
  <c r="H132" i="310"/>
  <c r="H130" i="310" s="1"/>
  <c r="G131" i="310"/>
  <c r="K130" i="310"/>
  <c r="I127" i="310"/>
  <c r="G127" i="310" s="1"/>
  <c r="G125" i="310"/>
  <c r="G123" i="310"/>
  <c r="G122" i="310"/>
  <c r="G121" i="310"/>
  <c r="K120" i="310"/>
  <c r="J120" i="310"/>
  <c r="I120" i="310"/>
  <c r="H120" i="310"/>
  <c r="G119" i="310"/>
  <c r="G118" i="310"/>
  <c r="G117" i="310"/>
  <c r="G116" i="310"/>
  <c r="G115" i="310"/>
  <c r="G114" i="310"/>
  <c r="K113" i="310"/>
  <c r="J113" i="310"/>
  <c r="I113" i="310"/>
  <c r="H113" i="310"/>
  <c r="G112" i="310"/>
  <c r="G111" i="310"/>
  <c r="K110" i="310"/>
  <c r="J110" i="310"/>
  <c r="I110" i="310"/>
  <c r="H110" i="310"/>
  <c r="G110" i="310" s="1"/>
  <c r="G109" i="310"/>
  <c r="G108" i="310"/>
  <c r="K107" i="310"/>
  <c r="J107" i="310"/>
  <c r="I107" i="310"/>
  <c r="I106" i="310" s="1"/>
  <c r="I104" i="310" s="1"/>
  <c r="I103" i="310" s="1"/>
  <c r="H107" i="310"/>
  <c r="K106" i="310"/>
  <c r="K104" i="310" s="1"/>
  <c r="K103" i="310" s="1"/>
  <c r="G105" i="310"/>
  <c r="G102" i="310"/>
  <c r="G101" i="310"/>
  <c r="G100" i="310"/>
  <c r="K99" i="310"/>
  <c r="J99" i="310"/>
  <c r="J97" i="310" s="1"/>
  <c r="I99" i="310"/>
  <c r="I97" i="310" s="1"/>
  <c r="H99" i="310"/>
  <c r="G98" i="310"/>
  <c r="K97" i="310"/>
  <c r="G95" i="310"/>
  <c r="G94" i="310"/>
  <c r="G93" i="310"/>
  <c r="J89" i="310"/>
  <c r="G88" i="310"/>
  <c r="K87" i="310"/>
  <c r="J87" i="310"/>
  <c r="I87" i="310"/>
  <c r="H87" i="310"/>
  <c r="H90" i="310" s="1"/>
  <c r="G87" i="310"/>
  <c r="G86" i="310"/>
  <c r="G85" i="310"/>
  <c r="G83" i="310"/>
  <c r="I81" i="310"/>
  <c r="G81" i="310" s="1"/>
  <c r="K79" i="310"/>
  <c r="J79" i="310"/>
  <c r="I79" i="310"/>
  <c r="H79" i="310"/>
  <c r="G78" i="310"/>
  <c r="G77" i="310"/>
  <c r="K76" i="310"/>
  <c r="K73" i="310" s="1"/>
  <c r="J76" i="310"/>
  <c r="J73" i="310" s="1"/>
  <c r="H76" i="310"/>
  <c r="H73" i="310" s="1"/>
  <c r="G75" i="310"/>
  <c r="G74" i="310"/>
  <c r="G72" i="310"/>
  <c r="G71" i="310"/>
  <c r="I67" i="310"/>
  <c r="H67" i="310"/>
  <c r="J65" i="310"/>
  <c r="G65" i="310" s="1"/>
  <c r="J64" i="310"/>
  <c r="I64" i="310"/>
  <c r="I62" i="310" s="1"/>
  <c r="H64" i="310"/>
  <c r="K62" i="310"/>
  <c r="J62" i="310"/>
  <c r="H62" i="310"/>
  <c r="K59" i="310"/>
  <c r="J59" i="310"/>
  <c r="I59" i="310"/>
  <c r="G59" i="310" s="1"/>
  <c r="H59" i="310"/>
  <c r="K56" i="310"/>
  <c r="J56" i="310"/>
  <c r="I56" i="310"/>
  <c r="I54" i="310" s="1"/>
  <c r="H56" i="310"/>
  <c r="H54" i="310" s="1"/>
  <c r="G55" i="310"/>
  <c r="J51" i="310"/>
  <c r="H51" i="310"/>
  <c r="K50" i="310"/>
  <c r="K89" i="310" s="1"/>
  <c r="J50" i="310"/>
  <c r="I50" i="310"/>
  <c r="I89" i="310" s="1"/>
  <c r="G49" i="310"/>
  <c r="G48" i="310"/>
  <c r="G47" i="310"/>
  <c r="G46" i="310"/>
  <c r="G44" i="310"/>
  <c r="G42" i="310"/>
  <c r="K40" i="310"/>
  <c r="J40" i="310"/>
  <c r="J34" i="310" s="1"/>
  <c r="J128" i="310" s="1"/>
  <c r="I40" i="310"/>
  <c r="H40" i="310"/>
  <c r="H34" i="310" s="1"/>
  <c r="G39" i="310"/>
  <c r="G38" i="310"/>
  <c r="I37" i="310"/>
  <c r="I76" i="310" s="1"/>
  <c r="G36" i="310"/>
  <c r="G35" i="310"/>
  <c r="K34" i="310"/>
  <c r="K128" i="310" s="1"/>
  <c r="I34" i="310"/>
  <c r="I128" i="310" s="1"/>
  <c r="G33" i="310"/>
  <c r="G32" i="310"/>
  <c r="I28" i="310"/>
  <c r="H28" i="310"/>
  <c r="G26" i="310"/>
  <c r="G25" i="310"/>
  <c r="K23" i="310"/>
  <c r="J23" i="310"/>
  <c r="I23" i="310"/>
  <c r="H23" i="310"/>
  <c r="K20" i="310"/>
  <c r="J20" i="310"/>
  <c r="I20" i="310"/>
  <c r="H20" i="310"/>
  <c r="K17" i="310"/>
  <c r="K15" i="310" s="1"/>
  <c r="J17" i="310"/>
  <c r="J15" i="310" s="1"/>
  <c r="I17" i="310"/>
  <c r="I15" i="310" s="1"/>
  <c r="H17" i="310"/>
  <c r="G16" i="310"/>
  <c r="D9" i="310"/>
  <c r="H15" i="310" l="1"/>
  <c r="J54" i="310"/>
  <c r="G107" i="310"/>
  <c r="G120" i="310"/>
  <c r="G132" i="310"/>
  <c r="J136" i="310"/>
  <c r="G17" i="310"/>
  <c r="K54" i="310"/>
  <c r="G64" i="310"/>
  <c r="G99" i="310"/>
  <c r="G113" i="310"/>
  <c r="G56" i="310"/>
  <c r="G79" i="310"/>
  <c r="J90" i="310"/>
  <c r="H97" i="310"/>
  <c r="J106" i="310"/>
  <c r="J104" i="310" s="1"/>
  <c r="J103" i="310" s="1"/>
  <c r="G139" i="310"/>
  <c r="G137" i="310"/>
  <c r="G23" i="310"/>
  <c r="G34" i="310"/>
  <c r="H45" i="310"/>
  <c r="H128" i="310"/>
  <c r="K90" i="310"/>
  <c r="I150" i="310"/>
  <c r="I126" i="310"/>
  <c r="I124" i="310" s="1"/>
  <c r="G76" i="310"/>
  <c r="I73" i="310"/>
  <c r="G62" i="310"/>
  <c r="K126" i="310"/>
  <c r="K124" i="310" s="1"/>
  <c r="K150" i="310"/>
  <c r="K148" i="310" s="1"/>
  <c r="K146" i="310" s="1"/>
  <c r="J126" i="310"/>
  <c r="J124" i="310" s="1"/>
  <c r="J150" i="310"/>
  <c r="J148" i="310" s="1"/>
  <c r="J146" i="310" s="1"/>
  <c r="G89" i="310"/>
  <c r="G73" i="310"/>
  <c r="I90" i="310"/>
  <c r="G90" i="310" s="1"/>
  <c r="G15" i="310"/>
  <c r="G54" i="310"/>
  <c r="G97" i="310"/>
  <c r="I149" i="310"/>
  <c r="G20" i="310"/>
  <c r="J30" i="310"/>
  <c r="G37" i="310"/>
  <c r="G40" i="310"/>
  <c r="G50" i="310"/>
  <c r="K51" i="310"/>
  <c r="H106" i="310"/>
  <c r="I45" i="310"/>
  <c r="I84" i="310" s="1"/>
  <c r="I91" i="310" s="1"/>
  <c r="I130" i="310"/>
  <c r="G130" i="310" s="1"/>
  <c r="I51" i="310"/>
  <c r="G51" i="310" s="1"/>
  <c r="H136" i="310"/>
  <c r="G136" i="310" s="1"/>
  <c r="G149" i="310" l="1"/>
  <c r="I148" i="310"/>
  <c r="I146" i="310" s="1"/>
  <c r="I52" i="310"/>
  <c r="H104" i="310"/>
  <c r="G106" i="310"/>
  <c r="G128" i="310"/>
  <c r="H150" i="310"/>
  <c r="H126" i="310"/>
  <c r="J69" i="310"/>
  <c r="G69" i="310" s="1"/>
  <c r="G30" i="310"/>
  <c r="J29" i="310"/>
  <c r="H84" i="310"/>
  <c r="H52" i="310"/>
  <c r="H91" i="310" l="1"/>
  <c r="H124" i="310"/>
  <c r="G124" i="310" s="1"/>
  <c r="G126" i="310"/>
  <c r="G104" i="310"/>
  <c r="H103" i="310"/>
  <c r="G103" i="310" s="1"/>
  <c r="J28" i="310"/>
  <c r="G29" i="310"/>
  <c r="J68" i="310"/>
  <c r="H148" i="310"/>
  <c r="G150" i="310"/>
  <c r="G68" i="310" l="1"/>
  <c r="J67" i="310"/>
  <c r="K31" i="310"/>
  <c r="J45" i="310"/>
  <c r="J52" i="310" s="1"/>
  <c r="G148" i="310"/>
  <c r="H146" i="310"/>
  <c r="G146" i="310" s="1"/>
  <c r="G31" i="310" l="1"/>
  <c r="K28" i="310"/>
  <c r="K70" i="310"/>
  <c r="K45" i="310"/>
  <c r="K84" i="310" s="1"/>
  <c r="J84" i="310"/>
  <c r="J91" i="310" s="1"/>
  <c r="G70" i="310" l="1"/>
  <c r="K67" i="310"/>
  <c r="G45" i="310"/>
  <c r="K52" i="310"/>
  <c r="G52" i="310" s="1"/>
  <c r="G28" i="310"/>
  <c r="G84" i="310"/>
  <c r="K91" i="310" l="1"/>
  <c r="G91" i="310" s="1"/>
  <c r="G67" i="310"/>
  <c r="F155" i="309" l="1"/>
  <c r="I152" i="309"/>
  <c r="F152" i="309"/>
  <c r="G147" i="309"/>
  <c r="G145" i="309"/>
  <c r="G144" i="309"/>
  <c r="G143" i="309"/>
  <c r="K142" i="309"/>
  <c r="J142" i="309"/>
  <c r="I142" i="309"/>
  <c r="H142" i="309"/>
  <c r="G142" i="309" s="1"/>
  <c r="G141" i="309"/>
  <c r="G140" i="309"/>
  <c r="K139" i="309"/>
  <c r="K137" i="309" s="1"/>
  <c r="J139" i="309"/>
  <c r="J137" i="309" s="1"/>
  <c r="I139" i="309"/>
  <c r="I137" i="309" s="1"/>
  <c r="I136" i="309" s="1"/>
  <c r="H139" i="309"/>
  <c r="G138" i="309"/>
  <c r="H137" i="309"/>
  <c r="G135" i="309"/>
  <c r="G134" i="309"/>
  <c r="G133" i="309"/>
  <c r="K132" i="309"/>
  <c r="K130" i="309" s="1"/>
  <c r="J132" i="309"/>
  <c r="I132" i="309"/>
  <c r="H132" i="309"/>
  <c r="H130" i="309" s="1"/>
  <c r="G131" i="309"/>
  <c r="J130" i="309"/>
  <c r="I127" i="309"/>
  <c r="G127" i="309" s="1"/>
  <c r="G125" i="309"/>
  <c r="G123" i="309"/>
  <c r="G122" i="309"/>
  <c r="G121" i="309"/>
  <c r="K120" i="309"/>
  <c r="J120" i="309"/>
  <c r="I120" i="309"/>
  <c r="G120" i="309" s="1"/>
  <c r="H120" i="309"/>
  <c r="G119" i="309"/>
  <c r="G118" i="309"/>
  <c r="G117" i="309"/>
  <c r="G116" i="309"/>
  <c r="G115" i="309"/>
  <c r="G114" i="309"/>
  <c r="K113" i="309"/>
  <c r="J113" i="309"/>
  <c r="I113" i="309"/>
  <c r="H113" i="309"/>
  <c r="G112" i="309"/>
  <c r="G111" i="309"/>
  <c r="K110" i="309"/>
  <c r="K106" i="309" s="1"/>
  <c r="K104" i="309" s="1"/>
  <c r="K103" i="309" s="1"/>
  <c r="J110" i="309"/>
  <c r="I110" i="309"/>
  <c r="H110" i="309"/>
  <c r="G110" i="309"/>
  <c r="G109" i="309"/>
  <c r="G108" i="309"/>
  <c r="K107" i="309"/>
  <c r="J107" i="309"/>
  <c r="J106" i="309" s="1"/>
  <c r="J104" i="309" s="1"/>
  <c r="J103" i="309" s="1"/>
  <c r="I107" i="309"/>
  <c r="H107" i="309"/>
  <c r="G107" i="309" s="1"/>
  <c r="I106" i="309"/>
  <c r="I104" i="309" s="1"/>
  <c r="I103" i="309" s="1"/>
  <c r="G105" i="309"/>
  <c r="G102" i="309"/>
  <c r="G101" i="309"/>
  <c r="G100" i="309"/>
  <c r="K99" i="309"/>
  <c r="K97" i="309" s="1"/>
  <c r="J99" i="309"/>
  <c r="J97" i="309" s="1"/>
  <c r="I99" i="309"/>
  <c r="I97" i="309" s="1"/>
  <c r="H99" i="309"/>
  <c r="G98" i="309"/>
  <c r="H97" i="309"/>
  <c r="G95" i="309"/>
  <c r="G94" i="309"/>
  <c r="G93" i="309"/>
  <c r="G88" i="309"/>
  <c r="K87" i="309"/>
  <c r="J87" i="309"/>
  <c r="I87" i="309"/>
  <c r="H87" i="309"/>
  <c r="H90" i="309" s="1"/>
  <c r="G86" i="309"/>
  <c r="G85" i="309"/>
  <c r="G83" i="309"/>
  <c r="I81" i="309"/>
  <c r="G81" i="309"/>
  <c r="K79" i="309"/>
  <c r="J79" i="309"/>
  <c r="J73" i="309" s="1"/>
  <c r="I79" i="309"/>
  <c r="H79" i="309"/>
  <c r="G78" i="309"/>
  <c r="G77" i="309"/>
  <c r="K76" i="309"/>
  <c r="K73" i="309" s="1"/>
  <c r="J76" i="309"/>
  <c r="H76" i="309"/>
  <c r="G75" i="309"/>
  <c r="G74" i="309"/>
  <c r="H73" i="309"/>
  <c r="G72" i="309"/>
  <c r="G71" i="309"/>
  <c r="I67" i="309"/>
  <c r="H67" i="309"/>
  <c r="J65" i="309"/>
  <c r="G65" i="309"/>
  <c r="J64" i="309"/>
  <c r="I64" i="309"/>
  <c r="I62" i="309" s="1"/>
  <c r="H64" i="309"/>
  <c r="G64" i="309"/>
  <c r="K62" i="309"/>
  <c r="H62" i="309"/>
  <c r="K59" i="309"/>
  <c r="J59" i="309"/>
  <c r="I59" i="309"/>
  <c r="H59" i="309"/>
  <c r="K56" i="309"/>
  <c r="J56" i="309"/>
  <c r="I56" i="309"/>
  <c r="H56" i="309"/>
  <c r="G55" i="309"/>
  <c r="H54" i="309"/>
  <c r="H51" i="309"/>
  <c r="K50" i="309"/>
  <c r="K89" i="309" s="1"/>
  <c r="J50" i="309"/>
  <c r="J89" i="309" s="1"/>
  <c r="I50" i="309"/>
  <c r="I89" i="309" s="1"/>
  <c r="G49" i="309"/>
  <c r="G48" i="309"/>
  <c r="G47" i="309"/>
  <c r="G46" i="309"/>
  <c r="G44" i="309"/>
  <c r="G42" i="309"/>
  <c r="K40" i="309"/>
  <c r="K34" i="309" s="1"/>
  <c r="K128" i="309" s="1"/>
  <c r="J40" i="309"/>
  <c r="J34" i="309" s="1"/>
  <c r="J128" i="309" s="1"/>
  <c r="I40" i="309"/>
  <c r="H40" i="309"/>
  <c r="H34" i="309" s="1"/>
  <c r="G39" i="309"/>
  <c r="G38" i="309"/>
  <c r="I37" i="309"/>
  <c r="I76" i="309" s="1"/>
  <c r="G36" i="309"/>
  <c r="G35" i="309"/>
  <c r="I34" i="309"/>
  <c r="I128" i="309" s="1"/>
  <c r="G33" i="309"/>
  <c r="G32" i="309"/>
  <c r="I28" i="309"/>
  <c r="H28" i="309"/>
  <c r="G26" i="309"/>
  <c r="G25" i="309"/>
  <c r="K23" i="309"/>
  <c r="J23" i="309"/>
  <c r="I23" i="309"/>
  <c r="H23" i="309"/>
  <c r="K20" i="309"/>
  <c r="J20" i="309"/>
  <c r="J15" i="309" s="1"/>
  <c r="I20" i="309"/>
  <c r="H20" i="309"/>
  <c r="K17" i="309"/>
  <c r="K15" i="309" s="1"/>
  <c r="J17" i="309"/>
  <c r="I17" i="309"/>
  <c r="H17" i="309"/>
  <c r="G17" i="309" s="1"/>
  <c r="G16" i="309"/>
  <c r="I15" i="309"/>
  <c r="D9" i="309"/>
  <c r="H15" i="309" l="1"/>
  <c r="I45" i="309"/>
  <c r="I84" i="309" s="1"/>
  <c r="G23" i="309"/>
  <c r="K54" i="309"/>
  <c r="J62" i="309"/>
  <c r="J90" i="309"/>
  <c r="J136" i="309"/>
  <c r="K136" i="309"/>
  <c r="G79" i="309"/>
  <c r="G132" i="309"/>
  <c r="G56" i="309"/>
  <c r="J51" i="309"/>
  <c r="G59" i="309"/>
  <c r="G99" i="309"/>
  <c r="G113" i="309"/>
  <c r="G139" i="309"/>
  <c r="G87" i="309"/>
  <c r="J54" i="309"/>
  <c r="J126" i="309"/>
  <c r="J124" i="309" s="1"/>
  <c r="J150" i="309"/>
  <c r="J148" i="309" s="1"/>
  <c r="J146" i="309" s="1"/>
  <c r="I90" i="309"/>
  <c r="G89" i="309"/>
  <c r="G15" i="309"/>
  <c r="K90" i="309"/>
  <c r="G90" i="309" s="1"/>
  <c r="G34" i="309"/>
  <c r="H45" i="309"/>
  <c r="H128" i="309"/>
  <c r="K150" i="309"/>
  <c r="K148" i="309" s="1"/>
  <c r="K146" i="309" s="1"/>
  <c r="K126" i="309"/>
  <c r="K124" i="309" s="1"/>
  <c r="I150" i="309"/>
  <c r="I126" i="309"/>
  <c r="I124" i="309" s="1"/>
  <c r="G76" i="309"/>
  <c r="I73" i="309"/>
  <c r="G73" i="309" s="1"/>
  <c r="G62" i="309"/>
  <c r="G97" i="309"/>
  <c r="G137" i="309"/>
  <c r="I52" i="309"/>
  <c r="I149" i="309"/>
  <c r="G20" i="309"/>
  <c r="J30" i="309"/>
  <c r="G37" i="309"/>
  <c r="G40" i="309"/>
  <c r="G50" i="309"/>
  <c r="K51" i="309"/>
  <c r="G51" i="309" s="1"/>
  <c r="I54" i="309"/>
  <c r="H106" i="309"/>
  <c r="I130" i="309"/>
  <c r="G130" i="309" s="1"/>
  <c r="I51" i="309"/>
  <c r="H136" i="309"/>
  <c r="G136" i="309" s="1"/>
  <c r="G30" i="309" l="1"/>
  <c r="J69" i="309"/>
  <c r="G69" i="309" s="1"/>
  <c r="G128" i="309"/>
  <c r="H150" i="309"/>
  <c r="H126" i="309"/>
  <c r="J29" i="309"/>
  <c r="H84" i="309"/>
  <c r="H52" i="309"/>
  <c r="G149" i="309"/>
  <c r="I148" i="309"/>
  <c r="I146" i="309" s="1"/>
  <c r="H104" i="309"/>
  <c r="G106" i="309"/>
  <c r="I91" i="309"/>
  <c r="G54" i="309"/>
  <c r="G104" i="309" l="1"/>
  <c r="H103" i="309"/>
  <c r="G103" i="309" s="1"/>
  <c r="H148" i="309"/>
  <c r="G150" i="309"/>
  <c r="H91" i="309"/>
  <c r="J68" i="309"/>
  <c r="G29" i="309"/>
  <c r="J28" i="309"/>
  <c r="H124" i="309"/>
  <c r="G124" i="309" s="1"/>
  <c r="G126" i="309"/>
  <c r="G68" i="309" l="1"/>
  <c r="J67" i="309"/>
  <c r="G148" i="309"/>
  <c r="H146" i="309"/>
  <c r="G146" i="309" s="1"/>
  <c r="J45" i="309"/>
  <c r="K31" i="309"/>
  <c r="J84" i="309" l="1"/>
  <c r="J91" i="309" s="1"/>
  <c r="J52" i="309"/>
  <c r="K70" i="309"/>
  <c r="G31" i="309"/>
  <c r="K28" i="309"/>
  <c r="K45" i="309"/>
  <c r="K84" i="309" s="1"/>
  <c r="G45" i="309" l="1"/>
  <c r="K52" i="309"/>
  <c r="G52" i="309" s="1"/>
  <c r="G28" i="309"/>
  <c r="G70" i="309"/>
  <c r="K67" i="309"/>
  <c r="G84" i="309"/>
  <c r="K91" i="309" l="1"/>
  <c r="G91" i="309" s="1"/>
  <c r="G67" i="309"/>
  <c r="F155" i="308" l="1"/>
  <c r="F152" i="308"/>
  <c r="G147" i="308"/>
  <c r="G145" i="308"/>
  <c r="G144" i="308"/>
  <c r="G143" i="308"/>
  <c r="K142" i="308"/>
  <c r="J142" i="308"/>
  <c r="I142" i="308"/>
  <c r="G142" i="308" s="1"/>
  <c r="H142" i="308"/>
  <c r="G141" i="308"/>
  <c r="G140" i="308"/>
  <c r="K139" i="308"/>
  <c r="J139" i="308"/>
  <c r="J137" i="308" s="1"/>
  <c r="J136" i="308" s="1"/>
  <c r="I139" i="308"/>
  <c r="I137" i="308" s="1"/>
  <c r="H139" i="308"/>
  <c r="G139" i="308" s="1"/>
  <c r="G138" i="308"/>
  <c r="K137" i="308"/>
  <c r="G135" i="308"/>
  <c r="G134" i="308"/>
  <c r="G133" i="308"/>
  <c r="K132" i="308"/>
  <c r="J132" i="308"/>
  <c r="J130" i="308" s="1"/>
  <c r="I132" i="308"/>
  <c r="H132" i="308"/>
  <c r="H130" i="308" s="1"/>
  <c r="G131" i="308"/>
  <c r="K130" i="308"/>
  <c r="I127" i="308"/>
  <c r="G127" i="308" s="1"/>
  <c r="G125" i="308"/>
  <c r="G123" i="308"/>
  <c r="G122" i="308"/>
  <c r="G121" i="308"/>
  <c r="K120" i="308"/>
  <c r="J120" i="308"/>
  <c r="I120" i="308"/>
  <c r="H120" i="308"/>
  <c r="G119" i="308"/>
  <c r="G118" i="308"/>
  <c r="G117" i="308"/>
  <c r="G116" i="308"/>
  <c r="G115" i="308"/>
  <c r="G114" i="308"/>
  <c r="K113" i="308"/>
  <c r="J113" i="308"/>
  <c r="I113" i="308"/>
  <c r="H113" i="308"/>
  <c r="G113" i="308" s="1"/>
  <c r="G112" i="308"/>
  <c r="G111" i="308"/>
  <c r="K110" i="308"/>
  <c r="J110" i="308"/>
  <c r="I110" i="308"/>
  <c r="H110" i="308"/>
  <c r="G109" i="308"/>
  <c r="G108" i="308"/>
  <c r="K107" i="308"/>
  <c r="J107" i="308"/>
  <c r="I107" i="308"/>
  <c r="H107" i="308"/>
  <c r="G107" i="308" s="1"/>
  <c r="K106" i="308"/>
  <c r="K104" i="308" s="1"/>
  <c r="K103" i="308" s="1"/>
  <c r="I106" i="308"/>
  <c r="G105" i="308"/>
  <c r="I104" i="308"/>
  <c r="I103" i="308" s="1"/>
  <c r="G102" i="308"/>
  <c r="G101" i="308"/>
  <c r="G100" i="308"/>
  <c r="K99" i="308"/>
  <c r="K97" i="308" s="1"/>
  <c r="J99" i="308"/>
  <c r="J97" i="308" s="1"/>
  <c r="I99" i="308"/>
  <c r="I97" i="308" s="1"/>
  <c r="H99" i="308"/>
  <c r="G98" i="308"/>
  <c r="H97" i="308"/>
  <c r="G95" i="308"/>
  <c r="G94" i="308"/>
  <c r="G93" i="308"/>
  <c r="G88" i="308"/>
  <c r="K87" i="308"/>
  <c r="J87" i="308"/>
  <c r="I87" i="308"/>
  <c r="H87" i="308"/>
  <c r="H90" i="308" s="1"/>
  <c r="G86" i="308"/>
  <c r="G85" i="308"/>
  <c r="G83" i="308"/>
  <c r="I81" i="308"/>
  <c r="G81" i="308" s="1"/>
  <c r="K79" i="308"/>
  <c r="J79" i="308"/>
  <c r="I79" i="308"/>
  <c r="H79" i="308"/>
  <c r="G78" i="308"/>
  <c r="G77" i="308"/>
  <c r="K76" i="308"/>
  <c r="K73" i="308" s="1"/>
  <c r="J76" i="308"/>
  <c r="H76" i="308"/>
  <c r="H73" i="308" s="1"/>
  <c r="G75" i="308"/>
  <c r="G74" i="308"/>
  <c r="G72" i="308"/>
  <c r="G71" i="308"/>
  <c r="I67" i="308"/>
  <c r="H67" i="308"/>
  <c r="J65" i="308"/>
  <c r="G65" i="308" s="1"/>
  <c r="J64" i="308"/>
  <c r="I64" i="308"/>
  <c r="I62" i="308" s="1"/>
  <c r="H64" i="308"/>
  <c r="K62" i="308"/>
  <c r="H62" i="308"/>
  <c r="K59" i="308"/>
  <c r="J59" i="308"/>
  <c r="I59" i="308"/>
  <c r="H59" i="308"/>
  <c r="K56" i="308"/>
  <c r="J56" i="308"/>
  <c r="I56" i="308"/>
  <c r="H56" i="308"/>
  <c r="G56" i="308" s="1"/>
  <c r="G55" i="308"/>
  <c r="H51" i="308"/>
  <c r="K50" i="308"/>
  <c r="K89" i="308" s="1"/>
  <c r="J50" i="308"/>
  <c r="J89" i="308" s="1"/>
  <c r="I50" i="308"/>
  <c r="I89" i="308" s="1"/>
  <c r="G49" i="308"/>
  <c r="G48" i="308"/>
  <c r="G47" i="308"/>
  <c r="G46" i="308"/>
  <c r="G44" i="308"/>
  <c r="G42" i="308"/>
  <c r="K40" i="308"/>
  <c r="K34" i="308" s="1"/>
  <c r="K128" i="308" s="1"/>
  <c r="J40" i="308"/>
  <c r="J34" i="308" s="1"/>
  <c r="I40" i="308"/>
  <c r="H40" i="308"/>
  <c r="H34" i="308" s="1"/>
  <c r="G39" i="308"/>
  <c r="G38" i="308"/>
  <c r="I37" i="308"/>
  <c r="I76" i="308" s="1"/>
  <c r="G36" i="308"/>
  <c r="G35" i="308"/>
  <c r="I34" i="308"/>
  <c r="I128" i="308" s="1"/>
  <c r="G33" i="308"/>
  <c r="G32" i="308"/>
  <c r="I28" i="308"/>
  <c r="H28" i="308"/>
  <c r="G26" i="308"/>
  <c r="G25" i="308"/>
  <c r="K23" i="308"/>
  <c r="J23" i="308"/>
  <c r="I23" i="308"/>
  <c r="H23" i="308"/>
  <c r="K20" i="308"/>
  <c r="J20" i="308"/>
  <c r="J15" i="308" s="1"/>
  <c r="I20" i="308"/>
  <c r="H20" i="308"/>
  <c r="K17" i="308"/>
  <c r="K15" i="308" s="1"/>
  <c r="J17" i="308"/>
  <c r="I17" i="308"/>
  <c r="H17" i="308"/>
  <c r="G17" i="308" s="1"/>
  <c r="G16" i="308"/>
  <c r="I15" i="308"/>
  <c r="D9" i="308"/>
  <c r="J51" i="308" l="1"/>
  <c r="I54" i="308"/>
  <c r="G59" i="308"/>
  <c r="G99" i="308"/>
  <c r="G110" i="308"/>
  <c r="H137" i="308"/>
  <c r="G137" i="308" s="1"/>
  <c r="I136" i="308"/>
  <c r="H15" i="308"/>
  <c r="H54" i="308"/>
  <c r="G64" i="308"/>
  <c r="J90" i="308"/>
  <c r="G97" i="308"/>
  <c r="J106" i="308"/>
  <c r="J104" i="308" s="1"/>
  <c r="J103" i="308" s="1"/>
  <c r="K136" i="308"/>
  <c r="I45" i="308"/>
  <c r="I84" i="308" s="1"/>
  <c r="K54" i="308"/>
  <c r="G79" i="308"/>
  <c r="G120" i="308"/>
  <c r="G132" i="308"/>
  <c r="G87" i="308"/>
  <c r="J73" i="308"/>
  <c r="J62" i="308"/>
  <c r="G62" i="308" s="1"/>
  <c r="G23" i="308"/>
  <c r="I150" i="308"/>
  <c r="I126" i="308"/>
  <c r="I124" i="308" s="1"/>
  <c r="G76" i="308"/>
  <c r="I73" i="308"/>
  <c r="G73" i="308" s="1"/>
  <c r="K150" i="308"/>
  <c r="K148" i="308" s="1"/>
  <c r="K146" i="308" s="1"/>
  <c r="K126" i="308"/>
  <c r="K124" i="308" s="1"/>
  <c r="J126" i="308"/>
  <c r="J124" i="308" s="1"/>
  <c r="J150" i="308"/>
  <c r="J148" i="308" s="1"/>
  <c r="J146" i="308" s="1"/>
  <c r="G89" i="308"/>
  <c r="I90" i="308"/>
  <c r="I91" i="308"/>
  <c r="G15" i="308"/>
  <c r="K90" i="308"/>
  <c r="H128" i="308"/>
  <c r="G34" i="308"/>
  <c r="H45" i="308"/>
  <c r="I52" i="308"/>
  <c r="I149" i="308"/>
  <c r="G20" i="308"/>
  <c r="J30" i="308"/>
  <c r="G37" i="308"/>
  <c r="G40" i="308"/>
  <c r="G50" i="308"/>
  <c r="K51" i="308"/>
  <c r="G51" i="308" s="1"/>
  <c r="H106" i="308"/>
  <c r="I130" i="308"/>
  <c r="G130" i="308" s="1"/>
  <c r="I51" i="308"/>
  <c r="H136" i="308"/>
  <c r="G136" i="308" s="1"/>
  <c r="J54" i="308" l="1"/>
  <c r="G54" i="308" s="1"/>
  <c r="G149" i="308"/>
  <c r="I148" i="308"/>
  <c r="I146" i="308" s="1"/>
  <c r="J29" i="308"/>
  <c r="H84" i="308"/>
  <c r="H52" i="308"/>
  <c r="G90" i="308"/>
  <c r="H104" i="308"/>
  <c r="G106" i="308"/>
  <c r="J69" i="308"/>
  <c r="G69" i="308" s="1"/>
  <c r="G30" i="308"/>
  <c r="G128" i="308"/>
  <c r="H150" i="308"/>
  <c r="H126" i="308"/>
  <c r="H103" i="308" l="1"/>
  <c r="G103" i="308" s="1"/>
  <c r="G104" i="308"/>
  <c r="J68" i="308"/>
  <c r="J28" i="308"/>
  <c r="G29" i="308"/>
  <c r="H124" i="308"/>
  <c r="G124" i="308" s="1"/>
  <c r="G126" i="308"/>
  <c r="H148" i="308"/>
  <c r="G150" i="308"/>
  <c r="H91" i="308"/>
  <c r="G68" i="308" l="1"/>
  <c r="J67" i="308"/>
  <c r="K31" i="308"/>
  <c r="J45" i="308"/>
  <c r="G148" i="308"/>
  <c r="H146" i="308"/>
  <c r="G146" i="308" s="1"/>
  <c r="K70" i="308" l="1"/>
  <c r="G31" i="308"/>
  <c r="K28" i="308"/>
  <c r="K45" i="308"/>
  <c r="K84" i="308" s="1"/>
  <c r="J84" i="308"/>
  <c r="J52" i="308"/>
  <c r="G45" i="308" l="1"/>
  <c r="G84" i="308"/>
  <c r="K52" i="308"/>
  <c r="G52" i="308" s="1"/>
  <c r="G28" i="308"/>
  <c r="J91" i="308"/>
  <c r="G70" i="308"/>
  <c r="K67" i="308"/>
  <c r="K91" i="308" l="1"/>
  <c r="G67" i="308"/>
  <c r="G91" i="308"/>
  <c r="K50" i="294" l="1"/>
  <c r="J50" i="294"/>
  <c r="I50" i="294"/>
  <c r="I37" i="294" l="1"/>
  <c r="J89" i="294" l="1"/>
  <c r="K89" i="294"/>
  <c r="I89" i="294"/>
  <c r="I87" i="294"/>
  <c r="J87" i="294"/>
  <c r="K87" i="294"/>
  <c r="H87" i="294"/>
  <c r="I81" i="294"/>
  <c r="J76" i="294"/>
  <c r="K76" i="294"/>
  <c r="H76" i="294"/>
  <c r="J65" i="294"/>
  <c r="I64" i="294"/>
  <c r="J64" i="294"/>
  <c r="H64" i="294"/>
  <c r="I76" i="294"/>
  <c r="G65" i="294" l="1"/>
  <c r="G26" i="294"/>
  <c r="I127" i="294" l="1"/>
  <c r="I149" i="294" s="1"/>
  <c r="G81" i="294" l="1"/>
  <c r="G64" i="294"/>
  <c r="G42" i="294"/>
  <c r="G25" i="294"/>
  <c r="I152" i="294" l="1"/>
  <c r="F155" i="294"/>
  <c r="F152" i="294"/>
  <c r="I142" i="294" l="1"/>
  <c r="J142" i="294"/>
  <c r="K142" i="294"/>
  <c r="H142" i="294"/>
  <c r="I132" i="294"/>
  <c r="I130" i="294" s="1"/>
  <c r="J132" i="294"/>
  <c r="J130" i="294" s="1"/>
  <c r="K132" i="294"/>
  <c r="K130" i="294" s="1"/>
  <c r="H132" i="294"/>
  <c r="H130" i="294" s="1"/>
  <c r="I120" i="294"/>
  <c r="J120" i="294"/>
  <c r="K120" i="294"/>
  <c r="H120" i="294"/>
  <c r="I99" i="294"/>
  <c r="I97" i="294" s="1"/>
  <c r="J99" i="294"/>
  <c r="J97" i="294" s="1"/>
  <c r="K99" i="294"/>
  <c r="K97" i="294" s="1"/>
  <c r="H99" i="294"/>
  <c r="H97" i="294" s="1"/>
  <c r="I90" i="294"/>
  <c r="J90" i="294"/>
  <c r="K90" i="294"/>
  <c r="H90" i="294"/>
  <c r="I51" i="294"/>
  <c r="J51" i="294"/>
  <c r="K51" i="294"/>
  <c r="H51" i="294"/>
  <c r="K107" i="294" l="1"/>
  <c r="J107" i="294"/>
  <c r="I107" i="294"/>
  <c r="H107" i="294"/>
  <c r="K110" i="294"/>
  <c r="J110" i="294"/>
  <c r="I110" i="294"/>
  <c r="H110" i="294"/>
  <c r="K113" i="294"/>
  <c r="J113" i="294"/>
  <c r="I113" i="294"/>
  <c r="H113" i="294"/>
  <c r="I139" i="294"/>
  <c r="I137" i="294" s="1"/>
  <c r="I136" i="294" s="1"/>
  <c r="J139" i="294"/>
  <c r="J137" i="294" s="1"/>
  <c r="J136" i="294" s="1"/>
  <c r="K139" i="294"/>
  <c r="K137" i="294" s="1"/>
  <c r="K136" i="294" s="1"/>
  <c r="H139" i="294"/>
  <c r="H137" i="294" s="1"/>
  <c r="H136" i="294" s="1"/>
  <c r="J106" i="294" l="1"/>
  <c r="J104" i="294" s="1"/>
  <c r="J103" i="294" s="1"/>
  <c r="K106" i="294"/>
  <c r="K104" i="294" s="1"/>
  <c r="K103" i="294" s="1"/>
  <c r="H106" i="294"/>
  <c r="H104" i="294" s="1"/>
  <c r="H103" i="294" s="1"/>
  <c r="I106" i="294"/>
  <c r="I104" i="294" s="1"/>
  <c r="I103" i="294" s="1"/>
  <c r="G5" i="242"/>
  <c r="K79" i="294"/>
  <c r="K73" i="294" s="1"/>
  <c r="J79" i="294"/>
  <c r="J73" i="294" s="1"/>
  <c r="I79" i="294"/>
  <c r="I73" i="294" s="1"/>
  <c r="H79" i="294"/>
  <c r="H73" i="294" s="1"/>
  <c r="K62" i="294"/>
  <c r="J62" i="294"/>
  <c r="I62" i="294"/>
  <c r="H62" i="294"/>
  <c r="K59" i="294"/>
  <c r="J59" i="294"/>
  <c r="I59" i="294"/>
  <c r="H59" i="294"/>
  <c r="K56" i="294"/>
  <c r="J56" i="294"/>
  <c r="I56" i="294"/>
  <c r="H56" i="294"/>
  <c r="K40" i="294"/>
  <c r="K34" i="294" s="1"/>
  <c r="K128" i="294" s="1"/>
  <c r="K150" i="294" s="1"/>
  <c r="J40" i="294"/>
  <c r="J34" i="294" s="1"/>
  <c r="J150" i="294" s="1"/>
  <c r="I40" i="294"/>
  <c r="I34" i="294" s="1"/>
  <c r="I128" i="294" s="1"/>
  <c r="I150" i="294" s="1"/>
  <c r="H40" i="294"/>
  <c r="H34" i="294" s="1"/>
  <c r="H128" i="294" s="1"/>
  <c r="H150" i="294" s="1"/>
  <c r="K23" i="294"/>
  <c r="J23" i="294"/>
  <c r="I23" i="294"/>
  <c r="H23" i="294"/>
  <c r="K20" i="294"/>
  <c r="J20" i="294"/>
  <c r="I20" i="294"/>
  <c r="H20" i="294"/>
  <c r="I17" i="294"/>
  <c r="J17" i="294"/>
  <c r="K17" i="294"/>
  <c r="H17" i="294"/>
  <c r="H45" i="294" l="1"/>
  <c r="H84" i="294" s="1"/>
  <c r="J148" i="294"/>
  <c r="J146" i="294" s="1"/>
  <c r="J30" i="294"/>
  <c r="J69" i="294" s="1"/>
  <c r="J126" i="294"/>
  <c r="J124" i="294" s="1"/>
  <c r="H15" i="294"/>
  <c r="J54" i="294"/>
  <c r="J15" i="294"/>
  <c r="H54" i="294"/>
  <c r="I54" i="294"/>
  <c r="K54" i="294"/>
  <c r="I15" i="294"/>
  <c r="I45" i="294" s="1"/>
  <c r="I84" i="294" s="1"/>
  <c r="K15" i="294"/>
  <c r="I67" i="294"/>
  <c r="H67" i="294"/>
  <c r="I28" i="294"/>
  <c r="H28" i="294"/>
  <c r="K126" i="294" l="1"/>
  <c r="K124" i="294" s="1"/>
  <c r="J29" i="294"/>
  <c r="J68" i="294" s="1"/>
  <c r="H148" i="294"/>
  <c r="H146" i="294" s="1"/>
  <c r="H126" i="294"/>
  <c r="H124" i="294" s="1"/>
  <c r="K148" i="294"/>
  <c r="K146" i="294" s="1"/>
  <c r="H91" i="294"/>
  <c r="H52" i="294"/>
  <c r="I52" i="294" l="1"/>
  <c r="I91" i="294"/>
  <c r="J28" i="294"/>
  <c r="K31" i="294" s="1"/>
  <c r="K70" i="294" s="1"/>
  <c r="J67" i="294"/>
  <c r="G138" i="294"/>
  <c r="G139" i="294"/>
  <c r="G140" i="294"/>
  <c r="G141" i="294"/>
  <c r="G142" i="294"/>
  <c r="G143" i="294"/>
  <c r="G144" i="294"/>
  <c r="G145" i="294"/>
  <c r="G147" i="294"/>
  <c r="G134" i="294"/>
  <c r="G101" i="294"/>
  <c r="G102" i="294"/>
  <c r="G103" i="294"/>
  <c r="G104" i="294"/>
  <c r="G105" i="294"/>
  <c r="G106" i="294"/>
  <c r="G107" i="294"/>
  <c r="G108" i="294"/>
  <c r="G109" i="294"/>
  <c r="G110" i="294"/>
  <c r="G111" i="294"/>
  <c r="G112" i="294"/>
  <c r="G113" i="294"/>
  <c r="G114" i="294"/>
  <c r="G115" i="294"/>
  <c r="G116" i="294"/>
  <c r="G117" i="294"/>
  <c r="G118" i="294"/>
  <c r="G119" i="294"/>
  <c r="G120" i="294"/>
  <c r="G121" i="294"/>
  <c r="G122" i="294"/>
  <c r="G123" i="294"/>
  <c r="G125" i="294"/>
  <c r="G127" i="294"/>
  <c r="K45" i="294" l="1"/>
  <c r="K84" i="294" s="1"/>
  <c r="J45" i="294"/>
  <c r="J84" i="294" s="1"/>
  <c r="G89" i="294"/>
  <c r="G90" i="294"/>
  <c r="G74" i="294"/>
  <c r="G75" i="294"/>
  <c r="G76" i="294"/>
  <c r="G77" i="294"/>
  <c r="G78" i="294"/>
  <c r="G79" i="294"/>
  <c r="G72" i="294"/>
  <c r="G59" i="294"/>
  <c r="G62" i="294"/>
  <c r="G20" i="294"/>
  <c r="G23" i="294"/>
  <c r="G33" i="294"/>
  <c r="G34" i="294"/>
  <c r="G35" i="294"/>
  <c r="G36" i="294"/>
  <c r="G37" i="294"/>
  <c r="G38" i="294"/>
  <c r="G39" i="294"/>
  <c r="G40" i="294"/>
  <c r="G50" i="294"/>
  <c r="G51" i="294"/>
  <c r="G15" i="294"/>
  <c r="G16" i="294"/>
  <c r="G17" i="294"/>
  <c r="K28" i="294" l="1"/>
  <c r="J52" i="294"/>
  <c r="K67" i="294"/>
  <c r="J91" i="294"/>
  <c r="D25" i="123"/>
  <c r="K91" i="294" l="1"/>
  <c r="K52" i="294"/>
  <c r="D9" i="294"/>
  <c r="G131" i="294"/>
  <c r="G132" i="294"/>
  <c r="G133" i="294"/>
  <c r="G135" i="294"/>
  <c r="G136" i="294"/>
  <c r="G137" i="294"/>
  <c r="G149" i="294"/>
  <c r="G130" i="294"/>
  <c r="G98" i="294"/>
  <c r="G99" i="294"/>
  <c r="G100" i="294"/>
  <c r="G97" i="294"/>
  <c r="G94" i="294"/>
  <c r="G95" i="294"/>
  <c r="G93" i="294"/>
  <c r="G55" i="294"/>
  <c r="G56" i="294"/>
  <c r="G67" i="294"/>
  <c r="G68" i="294"/>
  <c r="G69" i="294"/>
  <c r="G70" i="294"/>
  <c r="G71" i="294"/>
  <c r="G73" i="294"/>
  <c r="G83" i="294"/>
  <c r="G84" i="294"/>
  <c r="G85" i="294"/>
  <c r="G86" i="294"/>
  <c r="G87" i="294"/>
  <c r="G88" i="294"/>
  <c r="G54" i="294"/>
  <c r="G28" i="294"/>
  <c r="G29" i="294"/>
  <c r="G30" i="294"/>
  <c r="G31" i="294"/>
  <c r="G32" i="294"/>
  <c r="G44" i="294"/>
  <c r="G45" i="294"/>
  <c r="G46" i="294"/>
  <c r="G47" i="294"/>
  <c r="G48" i="294"/>
  <c r="G49" i="294"/>
  <c r="I148" i="294" l="1"/>
  <c r="G128" i="294"/>
  <c r="G52" i="294"/>
  <c r="G91" i="294"/>
  <c r="I126" i="294" l="1"/>
  <c r="I124" i="294" s="1"/>
  <c r="G124" i="294" s="1"/>
  <c r="G150" i="294"/>
  <c r="I146" i="294"/>
  <c r="G146" i="294" s="1"/>
  <c r="G148" i="294"/>
  <c r="G126" i="294" l="1"/>
</calcChain>
</file>

<file path=xl/sharedStrings.xml><?xml version="1.0" encoding="utf-8"?>
<sst xmlns="http://schemas.openxmlformats.org/spreadsheetml/2006/main" count="10235" uniqueCount="2193">
  <si>
    <t>О</t>
  </si>
  <si>
    <t>Лог обновления</t>
  </si>
  <si>
    <t>modUpdTemplMain</t>
  </si>
  <si>
    <t>Дата/Время</t>
  </si>
  <si>
    <t>Сообщение</t>
  </si>
  <si>
    <t>Статус</t>
  </si>
  <si>
    <t>Расчетные листы</t>
  </si>
  <si>
    <t>Скрытые листы</t>
  </si>
  <si>
    <t>Инструкция</t>
  </si>
  <si>
    <t>AllSheetsInThisWorkbook</t>
  </si>
  <si>
    <t>REESTR_ORG</t>
  </si>
  <si>
    <t>REESTR_MO</t>
  </si>
  <si>
    <t>TEHSHEET</t>
  </si>
  <si>
    <t>modfrmReestr</t>
  </si>
  <si>
    <t>modReestr</t>
  </si>
  <si>
    <t>МР</t>
  </si>
  <si>
    <t>МО</t>
  </si>
  <si>
    <t>МО_ОКТМО</t>
  </si>
  <si>
    <t>ИМЯ ДИАПАЗОНА</t>
  </si>
  <si>
    <t>Алтайский край</t>
  </si>
  <si>
    <t>Амурская область</t>
  </si>
  <si>
    <t>Архангельская область</t>
  </si>
  <si>
    <t>Астраханская область</t>
  </si>
  <si>
    <t>г.Байконур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</si>
  <si>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</si>
  <si>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</si>
  <si>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</si>
  <si>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</si>
  <si>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</si>
  <si>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</si>
  <si>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</si>
  <si>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</si>
  <si>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</si>
  <si>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</si>
  <si>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</si>
  <si>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</si>
  <si>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</si>
  <si>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</si>
  <si>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</si>
  <si>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</si>
  <si>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</si>
  <si>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</si>
  <si>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</si>
  <si>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</si>
  <si>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</si>
  <si>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</si>
  <si>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</si>
  <si>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</si>
  <si>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</si>
  <si>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</si>
  <si>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</si>
  <si>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</si>
  <si>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</si>
  <si>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</si>
  <si>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</si>
  <si>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</si>
  <si>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</si>
  <si>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</si>
  <si>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</si>
  <si>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</si>
  <si>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</si>
  <si>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</si>
  <si>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</si>
  <si>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</si>
  <si>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</si>
  <si>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</si>
  <si>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</si>
  <si>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</si>
  <si>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</si>
  <si>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</si>
  <si>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</si>
  <si>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</si>
  <si>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</si>
  <si>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</si>
  <si>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</si>
  <si>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</si>
  <si>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</si>
  <si>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</si>
  <si>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</si>
  <si>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</si>
  <si>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</si>
  <si>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</si>
  <si>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</si>
  <si>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</si>
  <si>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</si>
  <si>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</si>
  <si>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</si>
  <si>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</si>
  <si>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</si>
  <si>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</si>
  <si>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</si>
  <si>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</si>
  <si>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</si>
  <si>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</si>
  <si>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</si>
  <si>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</si>
  <si>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</si>
  <si>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</si>
  <si>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г. Москва</t>
  </si>
  <si>
    <t>Московская область</t>
  </si>
  <si>
    <t>г.Санкт-Петербург</t>
  </si>
  <si>
    <t>Забайкальский край</t>
  </si>
  <si>
    <t>Камчатский край</t>
  </si>
  <si>
    <t>modListProv</t>
  </si>
  <si>
    <t>RST_ORG_ID</t>
  </si>
  <si>
    <t>ORG_NAME</t>
  </si>
  <si>
    <t>INN_NAME</t>
  </si>
  <si>
    <t>KPP_NAME</t>
  </si>
  <si>
    <t>MR_NAME</t>
  </si>
  <si>
    <t>MO_NAME</t>
  </si>
  <si>
    <t>OKTMO_NAME</t>
  </si>
  <si>
    <t>MONTH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</si>
  <si>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</si>
  <si>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</si>
  <si>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</si>
  <si>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</si>
  <si>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</si>
  <si>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</si>
  <si>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</si>
  <si>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</si>
  <si>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</si>
  <si>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</si>
  <si>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</si>
  <si>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</si>
  <si>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et_union</t>
  </si>
  <si>
    <t>modButton</t>
  </si>
  <si>
    <t>modHyperlink</t>
  </si>
  <si>
    <t>YEAR</t>
  </si>
  <si>
    <t>VDET_NAME</t>
  </si>
  <si>
    <t>Титульный</t>
  </si>
  <si>
    <t>Проверка</t>
  </si>
  <si>
    <t>mod_01</t>
  </si>
  <si>
    <t>Коды по ОКЕИ: 1000 киловатт-часов – 246, мегаватт – 215, тысяча рублей – 384</t>
  </si>
  <si>
    <t>Код строки</t>
  </si>
  <si>
    <t>ВН</t>
  </si>
  <si>
    <t>СН1</t>
  </si>
  <si>
    <t>СН2</t>
  </si>
  <si>
    <t>НН</t>
  </si>
  <si>
    <t>год</t>
  </si>
  <si>
    <t>Комментарии</t>
  </si>
  <si>
    <t>№ п/п</t>
  </si>
  <si>
    <t>et_com</t>
  </si>
  <si>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</si>
  <si>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</si>
  <si>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</si>
  <si>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</si>
  <si>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</si>
  <si>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</si>
  <si>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</si>
  <si>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</si>
  <si>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</si>
  <si>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</si>
  <si>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</si>
  <si>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</si>
  <si>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Наименование показателя</t>
  </si>
  <si>
    <t>Всего</t>
  </si>
  <si>
    <t>В том числе по уровню напряжения</t>
  </si>
  <si>
    <t>Поступление в сеть из других уровней напряжения (трансформация)</t>
  </si>
  <si>
    <t xml:space="preserve">НН 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</si>
  <si>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</si>
  <si>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</si>
  <si>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</si>
  <si>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</si>
  <si>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Небаланс</t>
  </si>
  <si>
    <t>Заявленная мощность</t>
  </si>
  <si>
    <t>Максимальная мощность</t>
  </si>
  <si>
    <t>Резервируемая мощность</t>
  </si>
  <si>
    <t>по одноставочному тарифу</t>
  </si>
  <si>
    <t>мощность</t>
  </si>
  <si>
    <t>компенсация потерь</t>
  </si>
  <si>
    <t>Отпуск ЭЭ сет организациями</t>
  </si>
  <si>
    <t>Statistic</t>
  </si>
  <si>
    <t>mod_11</t>
  </si>
  <si>
    <t>modComm</t>
  </si>
  <si>
    <t>(Ф.И.О.)</t>
  </si>
  <si>
    <t>(подпись)</t>
  </si>
  <si>
    <t>(должность)</t>
  </si>
  <si>
    <t>«____» _________20__ год</t>
  </si>
  <si>
    <t>(номер контактного телефона)</t>
  </si>
  <si>
    <t>(дата составления документа)</t>
  </si>
  <si>
    <t>Республика Крым</t>
  </si>
  <si>
    <t>г.Севастополь</t>
  </si>
  <si>
    <t>DaNet</t>
  </si>
  <si>
    <t>Да</t>
  </si>
  <si>
    <t>Нет</t>
  </si>
  <si>
    <t>modInstruction</t>
  </si>
  <si>
    <t>modHTTP</t>
  </si>
  <si>
    <t>modfrmRegion</t>
  </si>
  <si>
    <t>modfrmCheckUpdates</t>
  </si>
  <si>
    <t>06.09.2018 19:26:20</t>
  </si>
  <si>
    <t>14.0</t>
  </si>
  <si>
    <t>Windows (32-bit) NT 6.01</t>
  </si>
  <si>
    <t>В целом по организации</t>
  </si>
  <si>
    <t>type_report</t>
  </si>
  <si>
    <t>По обособленному подразделению</t>
  </si>
  <si>
    <t>11.09.2018 18:16:52</t>
  </si>
  <si>
    <t>URL_FORMAT</t>
  </si>
  <si>
    <t>https://portal.eias.ru/Portal/DownloadPage.aspx?type=12&amp;guid=????????-????-????-????-????????????</t>
  </si>
  <si>
    <t>MSG_URL</t>
  </si>
  <si>
    <t>11.09.2018 20:57:11</t>
  </si>
  <si>
    <t>I. Электроэнергия (тыс. кВт ч)</t>
  </si>
  <si>
    <t>II. Мощность (МВт)</t>
  </si>
  <si>
    <t>III. Мощность (МВт)</t>
  </si>
  <si>
    <t>V. Стоимость услуг (тыс. руб.)</t>
  </si>
  <si>
    <t>Должностное лицо, ответственное за</t>
  </si>
  <si>
    <t>предоставление статистической информации</t>
  </si>
  <si>
    <t>(лицо, уполномоченное предоставлять</t>
  </si>
  <si>
    <t>статистическую информацию от имени</t>
  </si>
  <si>
    <t>юридического лица)</t>
  </si>
  <si>
    <t>IV. Фактический полезный отпуск конечным потребителям (тыс. кВт ч; МВт)</t>
  </si>
  <si>
    <t>из сетей ПАО "ФСК ЕЭС"</t>
  </si>
  <si>
    <t>230</t>
  </si>
  <si>
    <t>430</t>
  </si>
  <si>
    <t>630</t>
  </si>
  <si>
    <t>640</t>
  </si>
  <si>
    <t>650</t>
  </si>
  <si>
    <t>660</t>
  </si>
  <si>
    <t>670</t>
  </si>
  <si>
    <t>680</t>
  </si>
  <si>
    <t>690</t>
  </si>
  <si>
    <t>700</t>
  </si>
  <si>
    <t>потребителям ГП, ЭСО, ЭСК, в том числе:</t>
  </si>
  <si>
    <t>прочим потребителям</t>
  </si>
  <si>
    <t>710</t>
  </si>
  <si>
    <t>720</t>
  </si>
  <si>
    <t>730</t>
  </si>
  <si>
    <t>740</t>
  </si>
  <si>
    <t>750</t>
  </si>
  <si>
    <t>950</t>
  </si>
  <si>
    <t>960</t>
  </si>
  <si>
    <t>970</t>
  </si>
  <si>
    <t>980</t>
  </si>
  <si>
    <t>990</t>
  </si>
  <si>
    <t>относимые на собственное потребление</t>
  </si>
  <si>
    <t>1000</t>
  </si>
  <si>
    <t>1010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</si>
  <si>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</si>
  <si>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</si>
  <si>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1030</t>
  </si>
  <si>
    <t>1040</t>
  </si>
  <si>
    <t>1050</t>
  </si>
  <si>
    <t>1060</t>
  </si>
  <si>
    <t>1260</t>
  </si>
  <si>
    <t>1460</t>
  </si>
  <si>
    <t>1660</t>
  </si>
  <si>
    <t>1670</t>
  </si>
  <si>
    <t>1680</t>
  </si>
  <si>
    <t>1690</t>
  </si>
  <si>
    <t>1700</t>
  </si>
  <si>
    <t>1710</t>
  </si>
  <si>
    <t>1720</t>
  </si>
  <si>
    <t>1730</t>
  </si>
  <si>
    <t>1740</t>
  </si>
  <si>
    <t>1750</t>
  </si>
  <si>
    <t>1760</t>
  </si>
  <si>
    <t>1770</t>
  </si>
  <si>
    <t>1780</t>
  </si>
  <si>
    <t>1980</t>
  </si>
  <si>
    <t>1990</t>
  </si>
  <si>
    <t>2000</t>
  </si>
  <si>
    <t>2010</t>
  </si>
  <si>
    <t>2020</t>
  </si>
  <si>
    <t>2030</t>
  </si>
  <si>
    <t>2040</t>
  </si>
  <si>
    <t>2050</t>
  </si>
  <si>
    <t>2060</t>
  </si>
  <si>
    <t>2070</t>
  </si>
  <si>
    <t>2080</t>
  </si>
  <si>
    <t>2090</t>
  </si>
  <si>
    <t>2100</t>
  </si>
  <si>
    <t>2110</t>
  </si>
  <si>
    <t>2120</t>
  </si>
  <si>
    <t>мощность (МВт)</t>
  </si>
  <si>
    <t>2130</t>
  </si>
  <si>
    <t>2140</t>
  </si>
  <si>
    <t>2150</t>
  </si>
  <si>
    <t>12.09.2018 09:35:26</t>
  </si>
  <si>
    <t>2160</t>
  </si>
  <si>
    <t>2170</t>
  </si>
  <si>
    <t>по одноставочному тарифу:</t>
  </si>
  <si>
    <t>2180</t>
  </si>
  <si>
    <t>2190</t>
  </si>
  <si>
    <t>2200</t>
  </si>
  <si>
    <t>в пределах социальной нормы потребления</t>
  </si>
  <si>
    <t>2210</t>
  </si>
  <si>
    <t>сверх социальной нормы потребления</t>
  </si>
  <si>
    <t>2220</t>
  </si>
  <si>
    <t>2230</t>
  </si>
  <si>
    <t>2240</t>
  </si>
  <si>
    <t>2250</t>
  </si>
  <si>
    <t>2260</t>
  </si>
  <si>
    <t>2270</t>
  </si>
  <si>
    <t>2280</t>
  </si>
  <si>
    <t>Садоводческим, огородническим или дачным некоммерческим объединениям граждан</t>
  </si>
  <si>
    <t>2290</t>
  </si>
  <si>
    <t>Религиозным организациям</t>
  </si>
  <si>
    <t>2300</t>
  </si>
  <si>
    <t>2310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</si>
  <si>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</si>
  <si>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</si>
  <si>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2330</t>
  </si>
  <si>
    <t>2340</t>
  </si>
  <si>
    <t>2350</t>
  </si>
  <si>
    <t>2360</t>
  </si>
  <si>
    <t>2370</t>
  </si>
  <si>
    <t>2380</t>
  </si>
  <si>
    <t>2390</t>
  </si>
  <si>
    <t>2400</t>
  </si>
  <si>
    <t>2410</t>
  </si>
  <si>
    <t>2420</t>
  </si>
  <si>
    <t>2430</t>
  </si>
  <si>
    <t>2440</t>
  </si>
  <si>
    <t>2450</t>
  </si>
  <si>
    <t>2460</t>
  </si>
  <si>
    <t>2470</t>
  </si>
  <si>
    <t>2480</t>
  </si>
  <si>
    <t>2490</t>
  </si>
  <si>
    <t>2500</t>
  </si>
  <si>
    <t>2510</t>
  </si>
  <si>
    <t>2520</t>
  </si>
  <si>
    <t xml:space="preserve">сверх социальной нормы потребления </t>
  </si>
  <si>
    <t>2530</t>
  </si>
  <si>
    <t>2540</t>
  </si>
  <si>
    <t>2550</t>
  </si>
  <si>
    <t>2560</t>
  </si>
  <si>
    <t>2570</t>
  </si>
  <si>
    <t>2580</t>
  </si>
  <si>
    <t>2590</t>
  </si>
  <si>
    <t>2600</t>
  </si>
  <si>
    <t>920</t>
  </si>
  <si>
    <t>910</t>
  </si>
  <si>
    <t>2610</t>
  </si>
  <si>
    <t>2620</t>
  </si>
  <si>
    <t>12.09.2018 10:24:58</t>
  </si>
  <si>
    <t>Добавить организацию</t>
  </si>
  <si>
    <t>et_org</t>
  </si>
  <si>
    <t>30</t>
  </si>
  <si>
    <t>12.09.2018 16:27:05</t>
  </si>
  <si>
    <t>13.09.2018 15:09:23</t>
  </si>
  <si>
    <t>REESTR_FIL</t>
  </si>
  <si>
    <t>REESTR_EGRUL</t>
  </si>
  <si>
    <t>modfrmFindEGRUL</t>
  </si>
  <si>
    <t>modClassifierValidate</t>
  </si>
  <si>
    <t>13.09.2018 16:04:22</t>
  </si>
  <si>
    <t>13.09.2018 16:05:18</t>
  </si>
  <si>
    <t>13.09.2018 19:14:38</t>
  </si>
  <si>
    <t>14.09.2018 11:13:01</t>
  </si>
  <si>
    <t>14.09.2018 11:18:37</t>
  </si>
  <si>
    <t>17.09.2018 21:09:54</t>
  </si>
  <si>
    <t>18.09.2018 10:38:31</t>
  </si>
  <si>
    <t>18.09.2018 12:43:39</t>
  </si>
  <si>
    <t>18.09.2018 12:47:52</t>
  </si>
  <si>
    <t>18.09.2018 12:54:00</t>
  </si>
  <si>
    <t>18.09.2018 12:57:51</t>
  </si>
  <si>
    <t>18.09.2018 13:09:47</t>
  </si>
  <si>
    <t>18.09.2018 13:11:28</t>
  </si>
  <si>
    <t>18.09.2018 13:28:28</t>
  </si>
  <si>
    <t>18.09.2018 15:52:57</t>
  </si>
  <si>
    <t>18.09.2018 17:01:38</t>
  </si>
  <si>
    <t>18.09.2018 18:14:48</t>
  </si>
  <si>
    <t>19.09.2018 16:09:09</t>
  </si>
  <si>
    <t>3/17/2012 12:12:41 AM</t>
  </si>
  <si>
    <t>19.09.2018 18:23:43</t>
  </si>
  <si>
    <t>20.09.2018 10:53:47</t>
  </si>
  <si>
    <t>20.09.2018 11:00:09</t>
  </si>
  <si>
    <t>20.09.2018 11:51:55</t>
  </si>
  <si>
    <t>20.09.2018 12:24:20</t>
  </si>
  <si>
    <t>20.09.2018 15:06:45</t>
  </si>
  <si>
    <t>20.09.2018 15:26:56</t>
  </si>
  <si>
    <t>21.09.2018 13:25:15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</si>
  <si>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</si>
  <si>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</si>
  <si>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</si>
  <si>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</si>
  <si>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</si>
  <si>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</si>
  <si>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</si>
  <si>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</si>
  <si>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</si>
  <si>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</si>
  <si>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</si>
  <si>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4</t>
  </si>
  <si>
    <t>4.1</t>
  </si>
  <si>
    <t>4.2</t>
  </si>
  <si>
    <t>4.3</t>
  </si>
  <si>
    <t>4.4</t>
  </si>
  <si>
    <t>5</t>
  </si>
  <si>
    <t>6</t>
  </si>
  <si>
    <t>7</t>
  </si>
  <si>
    <t>8</t>
  </si>
  <si>
    <t>8.1</t>
  </si>
  <si>
    <t>10</t>
  </si>
  <si>
    <t>11</t>
  </si>
  <si>
    <t>12</t>
  </si>
  <si>
    <t>12.1</t>
  </si>
  <si>
    <t>12.2</t>
  </si>
  <si>
    <t>12.3</t>
  </si>
  <si>
    <t>12.4</t>
  </si>
  <si>
    <t>13</t>
  </si>
  <si>
    <t>13.1</t>
  </si>
  <si>
    <t>13.2</t>
  </si>
  <si>
    <t>13.3</t>
  </si>
  <si>
    <t>13.4</t>
  </si>
  <si>
    <t>14</t>
  </si>
  <si>
    <t>15</t>
  </si>
  <si>
    <t>15.1</t>
  </si>
  <si>
    <t>15.2</t>
  </si>
  <si>
    <t>15.3</t>
  </si>
  <si>
    <t>15.4</t>
  </si>
  <si>
    <t>16</t>
  </si>
  <si>
    <t>17</t>
  </si>
  <si>
    <t>18</t>
  </si>
  <si>
    <t>19</t>
  </si>
  <si>
    <t>19.1</t>
  </si>
  <si>
    <t>20</t>
  </si>
  <si>
    <t>21</t>
  </si>
  <si>
    <t>22</t>
  </si>
  <si>
    <t>Нормативные потери (объемы потерь учтенные в сводном прогнозном балансе)</t>
  </si>
  <si>
    <t>23</t>
  </si>
  <si>
    <t>24</t>
  </si>
  <si>
    <t>25</t>
  </si>
  <si>
    <t>26</t>
  </si>
  <si>
    <t>26.1</t>
  </si>
  <si>
    <t>26.2</t>
  </si>
  <si>
    <t>26.2.1</t>
  </si>
  <si>
    <t>26.2.1.1</t>
  </si>
  <si>
    <t>26.2.2</t>
  </si>
  <si>
    <t>27</t>
  </si>
  <si>
    <t>27.1</t>
  </si>
  <si>
    <t>27.1.1</t>
  </si>
  <si>
    <t>27.1.2</t>
  </si>
  <si>
    <t>27.1.2.1</t>
  </si>
  <si>
    <t>27.1.2.2</t>
  </si>
  <si>
    <t>27.1.2.1.1</t>
  </si>
  <si>
    <t>27.1.2.1.2</t>
  </si>
  <si>
    <t>27.1.2.2.1</t>
  </si>
  <si>
    <t>27.1.2.2.2</t>
  </si>
  <si>
    <t>27.1.2.3</t>
  </si>
  <si>
    <t>27.1.2.3.1</t>
  </si>
  <si>
    <t>27.1.2.3.2</t>
  </si>
  <si>
    <t>27.1.2.4</t>
  </si>
  <si>
    <t>27.1.2.5</t>
  </si>
  <si>
    <t>27.1.2.6</t>
  </si>
  <si>
    <t>27.1.2.7</t>
  </si>
  <si>
    <t>27.2</t>
  </si>
  <si>
    <t>27.2.1</t>
  </si>
  <si>
    <t>27.2.1.1</t>
  </si>
  <si>
    <t>27.2.2</t>
  </si>
  <si>
    <t>28</t>
  </si>
  <si>
    <t>28.1</t>
  </si>
  <si>
    <t>28.2</t>
  </si>
  <si>
    <t>28.2.1</t>
  </si>
  <si>
    <t>28.2.2</t>
  </si>
  <si>
    <t>29</t>
  </si>
  <si>
    <t>29.1</t>
  </si>
  <si>
    <t>29.2</t>
  </si>
  <si>
    <t>29.2.1</t>
  </si>
  <si>
    <t>29.2.1.1</t>
  </si>
  <si>
    <t>29.2.2</t>
  </si>
  <si>
    <t>30.1</t>
  </si>
  <si>
    <t>30.1.1</t>
  </si>
  <si>
    <t>30.1.2</t>
  </si>
  <si>
    <t>30.1.2.1</t>
  </si>
  <si>
    <t>30.1.2.2</t>
  </si>
  <si>
    <t>30.2</t>
  </si>
  <si>
    <t>30.2.1</t>
  </si>
  <si>
    <t>30.2.1.1</t>
  </si>
  <si>
    <t>30.2.2</t>
  </si>
  <si>
    <t>31</t>
  </si>
  <si>
    <t>31.1</t>
  </si>
  <si>
    <t>31.2</t>
  </si>
  <si>
    <t>31.2.1</t>
  </si>
  <si>
    <t>31.2.2</t>
  </si>
  <si>
    <t>Общий объем потерь (фактические объемы), в том числе:</t>
  </si>
  <si>
    <t>относимые на собственное потребление (фактическое значение)</t>
  </si>
  <si>
    <t>9</t>
  </si>
  <si>
    <t>потребителям, опосредованно подключенным к шинам генераторов</t>
  </si>
  <si>
    <t>населению и приравненным к нему категориям</t>
  </si>
  <si>
    <t>компенсация потерь (тыс. кВт ч)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</si>
  <si>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</si>
  <si>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1.2.0</t>
  </si>
  <si>
    <t>1.3.0</t>
  </si>
  <si>
    <t>1.4.0</t>
  </si>
  <si>
    <t>12.2.0</t>
  </si>
  <si>
    <t>12.3.0</t>
  </si>
  <si>
    <t>12.4.0</t>
  </si>
  <si>
    <t>4.1.1</t>
  </si>
  <si>
    <t>4.2.1</t>
  </si>
  <si>
    <t>4.2.1.1</t>
  </si>
  <si>
    <t>15.1.1</t>
  </si>
  <si>
    <t>15.2.1</t>
  </si>
  <si>
    <t>15.2.1.1</t>
  </si>
  <si>
    <t>21.09.2018 15:22:58</t>
  </si>
  <si>
    <t>21.09.2018 15:42:42</t>
  </si>
  <si>
    <t>21.09.2018 16:03:56</t>
  </si>
  <si>
    <t>21.09.2018 20:18:40</t>
  </si>
  <si>
    <t>4.3.0</t>
  </si>
  <si>
    <t>15.3.0</t>
  </si>
  <si>
    <t>Поступление в сеть из других организаций:</t>
  </si>
  <si>
    <t>от генерирующих компаний и блок-станций:</t>
  </si>
  <si>
    <t>от несетевых организаций:</t>
  </si>
  <si>
    <t>от смежных сетевых организаций:</t>
  </si>
  <si>
    <t>Отпуск из сети:</t>
  </si>
  <si>
    <t>прямым прочим потребителям по договорам оказания услуг по передаче электрической энергии, в том числе:</t>
  </si>
  <si>
    <t>прочим потребителям, в том числе:</t>
  </si>
  <si>
    <t>смежным сетевым организациям:</t>
  </si>
  <si>
    <t>Полезный отпуск конечным потребителям (тыс. кВт ч):</t>
  </si>
  <si>
    <t>по двухставочному тарифу:</t>
  </si>
  <si>
    <t>мощность (МВт), в том числе:</t>
  </si>
  <si>
    <t>опосредованно подключенным к шинам генераторов (МВт)</t>
  </si>
  <si>
    <t>Полезный отпуск потребителям ГП, ЭСО (тыс. кВт ч):</t>
  </si>
  <si>
    <t>населению и приравненным к нему категориям потребителей: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</si>
  <si>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</si>
  <si>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</si>
  <si>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Населению, проживающему в сельских населенных пунктах и приравненным к нему потребителям:</t>
  </si>
  <si>
    <t>по двухставочному тарифу (прочие потребители):</t>
  </si>
  <si>
    <t xml:space="preserve"> опосредованно подключенным к шинам генераторов (МВт)</t>
  </si>
  <si>
    <t>Оплачиваемый сетевыми организациями объем оказанных услуг по индивидуальному тарифу:</t>
  </si>
  <si>
    <t>Стоимость услуг, оплачиваемая потребителями (конечными потребителями по прямым договорам и ТСО):</t>
  </si>
  <si>
    <t>мощность, в том числе:</t>
  </si>
  <si>
    <t>опосредованно потребителям с шин генераторов</t>
  </si>
  <si>
    <t>Стоимость услуг, оплачиваемая ГП, ЭСО:</t>
  </si>
  <si>
    <t>Стоимость услуг, оплачиваемых сетевыми организациями по индивидуальному тарифу:</t>
  </si>
  <si>
    <t>22.09.2018 17:11:07</t>
  </si>
  <si>
    <t>23.09.2018 20:21:15</t>
  </si>
  <si>
    <t>Проверка доступных обновлений...</t>
  </si>
  <si>
    <t>Информация</t>
  </si>
  <si>
    <t>24.09.2018 10:44:39</t>
  </si>
  <si>
    <t>12.0</t>
  </si>
  <si>
    <t>Нет доступных обновлений для отчёта с кодом 46EP.STX!</t>
  </si>
  <si>
    <t>Абинский муниципальный район</t>
  </si>
  <si>
    <t>03601000</t>
  </si>
  <si>
    <t>муниципальный район</t>
  </si>
  <si>
    <t>Абинское городское</t>
  </si>
  <si>
    <t>03601101</t>
  </si>
  <si>
    <t>городское поселение, в состав которого входит город</t>
  </si>
  <si>
    <t>Ахтырское городское</t>
  </si>
  <si>
    <t>03601153</t>
  </si>
  <si>
    <t>городское поселение, в состав которого входит поселок</t>
  </si>
  <si>
    <t>Варнавинское</t>
  </si>
  <si>
    <t>03601401</t>
  </si>
  <si>
    <t>сельское поселение</t>
  </si>
  <si>
    <t>Мингрельское</t>
  </si>
  <si>
    <t>03601403</t>
  </si>
  <si>
    <t>Ольгинское</t>
  </si>
  <si>
    <t>03601402</t>
  </si>
  <si>
    <t>Светлогорское</t>
  </si>
  <si>
    <t>03601405</t>
  </si>
  <si>
    <t>Федоровское</t>
  </si>
  <si>
    <t>03601406</t>
  </si>
  <si>
    <t>Холмское</t>
  </si>
  <si>
    <t>03601408</t>
  </si>
  <si>
    <t>Апшеронский муниципальный район</t>
  </si>
  <si>
    <t>03605000</t>
  </si>
  <si>
    <t>Апшеронское городское</t>
  </si>
  <si>
    <t>03605101</t>
  </si>
  <si>
    <t>Кабардинское</t>
  </si>
  <si>
    <t>03605407</t>
  </si>
  <si>
    <t>Кубанское</t>
  </si>
  <si>
    <t>03605410</t>
  </si>
  <si>
    <t>Куринское</t>
  </si>
  <si>
    <t>03605413</t>
  </si>
  <si>
    <t>Мезмайское</t>
  </si>
  <si>
    <t>03605416</t>
  </si>
  <si>
    <t>Нефтегорское городское</t>
  </si>
  <si>
    <t>03605157</t>
  </si>
  <si>
    <t>Нижегородское</t>
  </si>
  <si>
    <t>03605418</t>
  </si>
  <si>
    <t>Новополянское</t>
  </si>
  <si>
    <t>03605419</t>
  </si>
  <si>
    <t>Отдаленное</t>
  </si>
  <si>
    <t>03605422</t>
  </si>
  <si>
    <t>Тверское</t>
  </si>
  <si>
    <t>03605431</t>
  </si>
  <si>
    <t>Хадыженское городское</t>
  </si>
  <si>
    <t>03605109</t>
  </si>
  <si>
    <t>Черниговское</t>
  </si>
  <si>
    <t>03605434</t>
  </si>
  <si>
    <t>Белоглинский муниципальный район</t>
  </si>
  <si>
    <t>03607000</t>
  </si>
  <si>
    <t>Белоглинское</t>
  </si>
  <si>
    <t>03607402</t>
  </si>
  <si>
    <t>Новопавловское</t>
  </si>
  <si>
    <t>03607404</t>
  </si>
  <si>
    <t>Успенское</t>
  </si>
  <si>
    <t>03607407</t>
  </si>
  <si>
    <t>Центральное</t>
  </si>
  <si>
    <t>03607410</t>
  </si>
  <si>
    <t>Белореченский муниципальный район</t>
  </si>
  <si>
    <t>03608000</t>
  </si>
  <si>
    <t>Белореченское городское</t>
  </si>
  <si>
    <t>03608101</t>
  </si>
  <si>
    <t>Бжедуховское</t>
  </si>
  <si>
    <t>03608402</t>
  </si>
  <si>
    <t>Великовечненское</t>
  </si>
  <si>
    <t>03608404</t>
  </si>
  <si>
    <t>Дружненское</t>
  </si>
  <si>
    <t>03608405</t>
  </si>
  <si>
    <t>Первомайское</t>
  </si>
  <si>
    <t>03608407</t>
  </si>
  <si>
    <t>Пшехское</t>
  </si>
  <si>
    <t>03608410</t>
  </si>
  <si>
    <t>Родниковское</t>
  </si>
  <si>
    <t>03608412</t>
  </si>
  <si>
    <t>Рязанское</t>
  </si>
  <si>
    <t>03608413</t>
  </si>
  <si>
    <t>03608416</t>
  </si>
  <si>
    <t>Школьненское</t>
  </si>
  <si>
    <t>03608419</t>
  </si>
  <si>
    <t>Южненское</t>
  </si>
  <si>
    <t>03608420</t>
  </si>
  <si>
    <t>Брюховецкий муниципальный район</t>
  </si>
  <si>
    <t>03610000</t>
  </si>
  <si>
    <t>Батуринское</t>
  </si>
  <si>
    <t>03610402</t>
  </si>
  <si>
    <t>Большебейсугское</t>
  </si>
  <si>
    <t>03610404</t>
  </si>
  <si>
    <t>Брюховецкое</t>
  </si>
  <si>
    <t>03610407</t>
  </si>
  <si>
    <t>Новоджерелиевское</t>
  </si>
  <si>
    <t>03610410</t>
  </si>
  <si>
    <t>Новосельское</t>
  </si>
  <si>
    <t>03610413</t>
  </si>
  <si>
    <t>Переясловское</t>
  </si>
  <si>
    <t>03610416</t>
  </si>
  <si>
    <t>Свободненское</t>
  </si>
  <si>
    <t>03610419</t>
  </si>
  <si>
    <t>Чепигинское</t>
  </si>
  <si>
    <t>03610422</t>
  </si>
  <si>
    <t>Выселковский муниципальный район</t>
  </si>
  <si>
    <t>03612000</t>
  </si>
  <si>
    <t>Бейсугское</t>
  </si>
  <si>
    <t>03612402</t>
  </si>
  <si>
    <t>Бейсужекское</t>
  </si>
  <si>
    <t>03612404</t>
  </si>
  <si>
    <t>Березанское</t>
  </si>
  <si>
    <t>03612407</t>
  </si>
  <si>
    <t>Бузиновское</t>
  </si>
  <si>
    <t>03612410</t>
  </si>
  <si>
    <t>Выселковское</t>
  </si>
  <si>
    <t>03612413</t>
  </si>
  <si>
    <t>Газырское</t>
  </si>
  <si>
    <t>03612416</t>
  </si>
  <si>
    <t>Ирклиевское</t>
  </si>
  <si>
    <t>03612419</t>
  </si>
  <si>
    <t>Крупское</t>
  </si>
  <si>
    <t>03612420</t>
  </si>
  <si>
    <t>Новобейсугское</t>
  </si>
  <si>
    <t>03612422</t>
  </si>
  <si>
    <t>Новомалороссийское</t>
  </si>
  <si>
    <t>03612425</t>
  </si>
  <si>
    <t>Город Армавир</t>
  </si>
  <si>
    <t>03705000</t>
  </si>
  <si>
    <t>городской округ</t>
  </si>
  <si>
    <t>Город Горячий Ключ</t>
  </si>
  <si>
    <t>03709000</t>
  </si>
  <si>
    <t>Город Краснодар</t>
  </si>
  <si>
    <t>03701000</t>
  </si>
  <si>
    <t>Город Новороссийск</t>
  </si>
  <si>
    <t>03720000</t>
  </si>
  <si>
    <t>Город-курорт Анапа</t>
  </si>
  <si>
    <t>03703000</t>
  </si>
  <si>
    <t>Город-курорт Геленджик</t>
  </si>
  <si>
    <t>03708000</t>
  </si>
  <si>
    <t>Город-курорт Сочи</t>
  </si>
  <si>
    <t>03726000</t>
  </si>
  <si>
    <t>Гулькевичский муниципальный район</t>
  </si>
  <si>
    <t>03613000</t>
  </si>
  <si>
    <t>Венцы-Заря</t>
  </si>
  <si>
    <t>03613404</t>
  </si>
  <si>
    <t>Гирейское городское</t>
  </si>
  <si>
    <t>03613154</t>
  </si>
  <si>
    <t>Гулькевичское городское</t>
  </si>
  <si>
    <t>03613101</t>
  </si>
  <si>
    <t>Комсомольское</t>
  </si>
  <si>
    <t>03613413</t>
  </si>
  <si>
    <t>Красносельское городское</t>
  </si>
  <si>
    <t>03613162</t>
  </si>
  <si>
    <t>Кубань</t>
  </si>
  <si>
    <t>03613416</t>
  </si>
  <si>
    <t>Николенское</t>
  </si>
  <si>
    <t>03613425</t>
  </si>
  <si>
    <t>Новоукраинское</t>
  </si>
  <si>
    <t>03613429</t>
  </si>
  <si>
    <t>Отрадо-Кубанское</t>
  </si>
  <si>
    <t>03613434</t>
  </si>
  <si>
    <t>Отрадо-Ольгинское</t>
  </si>
  <si>
    <t>03613437</t>
  </si>
  <si>
    <t>Пушкинское</t>
  </si>
  <si>
    <t>03613440</t>
  </si>
  <si>
    <t>Скобелевское</t>
  </si>
  <si>
    <t>03613445</t>
  </si>
  <si>
    <t>Соколовское</t>
  </si>
  <si>
    <t>03613448</t>
  </si>
  <si>
    <t>Союз Четырех Хуторов</t>
  </si>
  <si>
    <t>03613450</t>
  </si>
  <si>
    <t>Тысячное</t>
  </si>
  <si>
    <t>03613455</t>
  </si>
  <si>
    <t>Динской муниципальный район</t>
  </si>
  <si>
    <t>03614000</t>
  </si>
  <si>
    <t>Васюринское</t>
  </si>
  <si>
    <t>03614402</t>
  </si>
  <si>
    <t>Динское</t>
  </si>
  <si>
    <t>03614404</t>
  </si>
  <si>
    <t>Красносельское</t>
  </si>
  <si>
    <t>03614410</t>
  </si>
  <si>
    <t>Мичуринское</t>
  </si>
  <si>
    <t>03614412</t>
  </si>
  <si>
    <t>Нововеличковское</t>
  </si>
  <si>
    <t>03614414</t>
  </si>
  <si>
    <t>Новотитаровское</t>
  </si>
  <si>
    <t>03614416</t>
  </si>
  <si>
    <t>Первореченское</t>
  </si>
  <si>
    <t>03614419</t>
  </si>
  <si>
    <t>Пластуновское</t>
  </si>
  <si>
    <t>03614422</t>
  </si>
  <si>
    <t>Старомышастовское</t>
  </si>
  <si>
    <t>03614428</t>
  </si>
  <si>
    <t>Южно-Кубанское</t>
  </si>
  <si>
    <t>03614445</t>
  </si>
  <si>
    <t>Ейский муниципальный район</t>
  </si>
  <si>
    <t>03616000</t>
  </si>
  <si>
    <t>Александровское</t>
  </si>
  <si>
    <t>03616402</t>
  </si>
  <si>
    <t>Должанское</t>
  </si>
  <si>
    <t>03616404</t>
  </si>
  <si>
    <t>Ейское</t>
  </si>
  <si>
    <t>03616407</t>
  </si>
  <si>
    <t>Ейское городское</t>
  </si>
  <si>
    <t>03616101</t>
  </si>
  <si>
    <t>Камышеватское</t>
  </si>
  <si>
    <t>03616410</t>
  </si>
  <si>
    <t>Копанское</t>
  </si>
  <si>
    <t>03616413</t>
  </si>
  <si>
    <t>Красноармейское</t>
  </si>
  <si>
    <t>03616416</t>
  </si>
  <si>
    <t>Кухаривское</t>
  </si>
  <si>
    <t>03616419</t>
  </si>
  <si>
    <t>Моревское</t>
  </si>
  <si>
    <t>03616420</t>
  </si>
  <si>
    <t>Трудовое</t>
  </si>
  <si>
    <t>03616421</t>
  </si>
  <si>
    <t>Ясенское</t>
  </si>
  <si>
    <t>03616422</t>
  </si>
  <si>
    <t>Кавказский муниципальный район</t>
  </si>
  <si>
    <t>03618000</t>
  </si>
  <si>
    <t>Дмитриевское</t>
  </si>
  <si>
    <t>03618404</t>
  </si>
  <si>
    <t>Кавказское</t>
  </si>
  <si>
    <t>03618410</t>
  </si>
  <si>
    <t>Казанское</t>
  </si>
  <si>
    <t>03618413</t>
  </si>
  <si>
    <t>Кропоткинское городское</t>
  </si>
  <si>
    <t>03618101</t>
  </si>
  <si>
    <t>Лосевское</t>
  </si>
  <si>
    <t>03618419</t>
  </si>
  <si>
    <t>Мирское</t>
  </si>
  <si>
    <t>03618422</t>
  </si>
  <si>
    <t>Привольное</t>
  </si>
  <si>
    <t>03618432</t>
  </si>
  <si>
    <t>Темижбекское</t>
  </si>
  <si>
    <t>03618452</t>
  </si>
  <si>
    <t>им М Горького</t>
  </si>
  <si>
    <t>03618407</t>
  </si>
  <si>
    <t>Калининский муниципальный район</t>
  </si>
  <si>
    <t>03619000</t>
  </si>
  <si>
    <t>Бойкопонурское</t>
  </si>
  <si>
    <t>03619405</t>
  </si>
  <si>
    <t>Гривенское</t>
  </si>
  <si>
    <t>03619406</t>
  </si>
  <si>
    <t>Гришковское</t>
  </si>
  <si>
    <t>03619407</t>
  </si>
  <si>
    <t>Джумайловское</t>
  </si>
  <si>
    <t>03619408</t>
  </si>
  <si>
    <t>Калининское</t>
  </si>
  <si>
    <t>03619420</t>
  </si>
  <si>
    <t>Куйбышевское</t>
  </si>
  <si>
    <t>03619422</t>
  </si>
  <si>
    <t>Новониколаевское</t>
  </si>
  <si>
    <t>03619427</t>
  </si>
  <si>
    <t>Старовеличковское</t>
  </si>
  <si>
    <t>03619435</t>
  </si>
  <si>
    <t>Каневской муниципальный район</t>
  </si>
  <si>
    <t>03620000</t>
  </si>
  <si>
    <t>Каневское</t>
  </si>
  <si>
    <t>03620402</t>
  </si>
  <si>
    <t>Красногвардейское</t>
  </si>
  <si>
    <t>03620404</t>
  </si>
  <si>
    <t>Кубанскостепное</t>
  </si>
  <si>
    <t>03620405</t>
  </si>
  <si>
    <t>Новодеревянковское</t>
  </si>
  <si>
    <t>03620407</t>
  </si>
  <si>
    <t>Новоминское</t>
  </si>
  <si>
    <t>03620410</t>
  </si>
  <si>
    <t>Привольненское</t>
  </si>
  <si>
    <t>03620413</t>
  </si>
  <si>
    <t>Придорожное</t>
  </si>
  <si>
    <t>03620414</t>
  </si>
  <si>
    <t>Стародеревянковское</t>
  </si>
  <si>
    <t>03620416</t>
  </si>
  <si>
    <t>Челбасское</t>
  </si>
  <si>
    <t>03620419</t>
  </si>
  <si>
    <t>Кореновский муниципальный район</t>
  </si>
  <si>
    <t>03621000</t>
  </si>
  <si>
    <t>Братковское</t>
  </si>
  <si>
    <t>03621402</t>
  </si>
  <si>
    <t>Бураковское</t>
  </si>
  <si>
    <t>03621404</t>
  </si>
  <si>
    <t>Дядьковское</t>
  </si>
  <si>
    <t>03621407</t>
  </si>
  <si>
    <t>Журавское</t>
  </si>
  <si>
    <t>03621410</t>
  </si>
  <si>
    <t>Кореновское городское</t>
  </si>
  <si>
    <t>03621101</t>
  </si>
  <si>
    <t>Новоберезанское</t>
  </si>
  <si>
    <t>03621413</t>
  </si>
  <si>
    <t>Платнировское</t>
  </si>
  <si>
    <t>03621419</t>
  </si>
  <si>
    <t>Пролетарское</t>
  </si>
  <si>
    <t>03621422</t>
  </si>
  <si>
    <t>Раздольненское</t>
  </si>
  <si>
    <t>03621425</t>
  </si>
  <si>
    <t>Сергиевское</t>
  </si>
  <si>
    <t>03621428</t>
  </si>
  <si>
    <t>Красноармейский муниципальный район</t>
  </si>
  <si>
    <t>03623000</t>
  </si>
  <si>
    <t>Ивановское</t>
  </si>
  <si>
    <t>03623407</t>
  </si>
  <si>
    <t>Марьянское</t>
  </si>
  <si>
    <t>03623412</t>
  </si>
  <si>
    <t>Новомышастовское</t>
  </si>
  <si>
    <t>03623413</t>
  </si>
  <si>
    <t>Октябрьское</t>
  </si>
  <si>
    <t>03623419</t>
  </si>
  <si>
    <t>Полтавское</t>
  </si>
  <si>
    <t>03623410</t>
  </si>
  <si>
    <t>Протичкинское</t>
  </si>
  <si>
    <t>03623420</t>
  </si>
  <si>
    <t>Староджерелиевское</t>
  </si>
  <si>
    <t>03623422</t>
  </si>
  <si>
    <t>Старонижестеблиевское</t>
  </si>
  <si>
    <t>03623425</t>
  </si>
  <si>
    <t>Трудобеликовское</t>
  </si>
  <si>
    <t>03623428</t>
  </si>
  <si>
    <t>Чебургольское</t>
  </si>
  <si>
    <t>03623431</t>
  </si>
  <si>
    <t>Крыловский муниципальный район</t>
  </si>
  <si>
    <t>03624000</t>
  </si>
  <si>
    <t>Крыловское</t>
  </si>
  <si>
    <t>03624411</t>
  </si>
  <si>
    <t>Кугоейское</t>
  </si>
  <si>
    <t>03624414</t>
  </si>
  <si>
    <t>Новопашковское</t>
  </si>
  <si>
    <t>03624418</t>
  </si>
  <si>
    <t>Новосергиевское</t>
  </si>
  <si>
    <t>03624421</t>
  </si>
  <si>
    <t>03624424</t>
  </si>
  <si>
    <t>Шевченковское</t>
  </si>
  <si>
    <t>03624430</t>
  </si>
  <si>
    <t>Крымский муниципальный район</t>
  </si>
  <si>
    <t>03625000</t>
  </si>
  <si>
    <t>Адагумское</t>
  </si>
  <si>
    <t>03625402</t>
  </si>
  <si>
    <t>Варениковское</t>
  </si>
  <si>
    <t>03625404</t>
  </si>
  <si>
    <t>Кеслеровское</t>
  </si>
  <si>
    <t>03625407</t>
  </si>
  <si>
    <t>Киевское</t>
  </si>
  <si>
    <t>03625410</t>
  </si>
  <si>
    <t>Крымское городское</t>
  </si>
  <si>
    <t>03625101</t>
  </si>
  <si>
    <t>Мерчанское</t>
  </si>
  <si>
    <t>03625416</t>
  </si>
  <si>
    <t>Молдаванское</t>
  </si>
  <si>
    <t>03625419</t>
  </si>
  <si>
    <t>Нижнебаканское</t>
  </si>
  <si>
    <t>03625412</t>
  </si>
  <si>
    <t>Пригородное</t>
  </si>
  <si>
    <t>03625413</t>
  </si>
  <si>
    <t>Троицкое</t>
  </si>
  <si>
    <t>03625422</t>
  </si>
  <si>
    <t>Южное</t>
  </si>
  <si>
    <t>03625431</t>
  </si>
  <si>
    <t>Курганинский муниципальный район</t>
  </si>
  <si>
    <t>03627000</t>
  </si>
  <si>
    <t>Безводное</t>
  </si>
  <si>
    <t>03627402</t>
  </si>
  <si>
    <t>Воздвиженское</t>
  </si>
  <si>
    <t>03627404</t>
  </si>
  <si>
    <t>Константиновское</t>
  </si>
  <si>
    <t>03627407</t>
  </si>
  <si>
    <t>Курганинское городское</t>
  </si>
  <si>
    <t>03627101</t>
  </si>
  <si>
    <t>Михайловское</t>
  </si>
  <si>
    <t>03627410</t>
  </si>
  <si>
    <t>Новоалексеевское</t>
  </si>
  <si>
    <t>03627413</t>
  </si>
  <si>
    <t>03627416</t>
  </si>
  <si>
    <t>Петропавловское</t>
  </si>
  <si>
    <t>03627419</t>
  </si>
  <si>
    <t>03627422</t>
  </si>
  <si>
    <t>Темиргоевское</t>
  </si>
  <si>
    <t>03627425</t>
  </si>
  <si>
    <t>Кущевский муниципальный район</t>
  </si>
  <si>
    <t>03628000</t>
  </si>
  <si>
    <t>Глебовское</t>
  </si>
  <si>
    <t>03628403</t>
  </si>
  <si>
    <t>Ильинское</t>
  </si>
  <si>
    <t>03628404</t>
  </si>
  <si>
    <t>Кисляковское</t>
  </si>
  <si>
    <t>03628407</t>
  </si>
  <si>
    <t>Краснополянское</t>
  </si>
  <si>
    <t>03628402</t>
  </si>
  <si>
    <t>03628410</t>
  </si>
  <si>
    <t>Кущевское</t>
  </si>
  <si>
    <t>03628416</t>
  </si>
  <si>
    <t>Новомихайловское</t>
  </si>
  <si>
    <t>03628420</t>
  </si>
  <si>
    <t>03628422</t>
  </si>
  <si>
    <t>Полтавченское</t>
  </si>
  <si>
    <t>03628425</t>
  </si>
  <si>
    <t>03628428</t>
  </si>
  <si>
    <t>Среднечубуркское</t>
  </si>
  <si>
    <t>03628429</t>
  </si>
  <si>
    <t>Шкуринское</t>
  </si>
  <si>
    <t>03628431</t>
  </si>
  <si>
    <t>Лабинский муниципальный район</t>
  </si>
  <si>
    <t>03630000</t>
  </si>
  <si>
    <t>Ахметовское</t>
  </si>
  <si>
    <t>03630404</t>
  </si>
  <si>
    <t>Владимирское</t>
  </si>
  <si>
    <t>03630416</t>
  </si>
  <si>
    <t>Вознесенское</t>
  </si>
  <si>
    <t>03630419</t>
  </si>
  <si>
    <t>Зассовское</t>
  </si>
  <si>
    <t>03630425</t>
  </si>
  <si>
    <t>Каладжинское</t>
  </si>
  <si>
    <t>03630428</t>
  </si>
  <si>
    <t>Лабинское городское</t>
  </si>
  <si>
    <t>03630101</t>
  </si>
  <si>
    <t>Лучевое</t>
  </si>
  <si>
    <t>03630439</t>
  </si>
  <si>
    <t>Отважненское</t>
  </si>
  <si>
    <t>03630443</t>
  </si>
  <si>
    <t>Первосинюхинское</t>
  </si>
  <si>
    <t>03630446</t>
  </si>
  <si>
    <t>Сладковское</t>
  </si>
  <si>
    <t>03630450</t>
  </si>
  <si>
    <t>Упорненское</t>
  </si>
  <si>
    <t>03630455</t>
  </si>
  <si>
    <t>Харьковское</t>
  </si>
  <si>
    <t>03630458</t>
  </si>
  <si>
    <t>Чамлыкское</t>
  </si>
  <si>
    <t>03630437</t>
  </si>
  <si>
    <t>Ленинградский муниципальный район</t>
  </si>
  <si>
    <t>03632000</t>
  </si>
  <si>
    <t>Белохуторское</t>
  </si>
  <si>
    <t>03632401</t>
  </si>
  <si>
    <t>Восточное</t>
  </si>
  <si>
    <t>03632402</t>
  </si>
  <si>
    <t>Западное</t>
  </si>
  <si>
    <t>03632420</t>
  </si>
  <si>
    <t>Коржовское</t>
  </si>
  <si>
    <t>03632403</t>
  </si>
  <si>
    <t>03632404</t>
  </si>
  <si>
    <t>Куликовское</t>
  </si>
  <si>
    <t>03632407</t>
  </si>
  <si>
    <t>Ленинградское</t>
  </si>
  <si>
    <t>03632410</t>
  </si>
  <si>
    <t>Новоплатнировское</t>
  </si>
  <si>
    <t>03632413</t>
  </si>
  <si>
    <t>Новоуманское</t>
  </si>
  <si>
    <t>03632414</t>
  </si>
  <si>
    <t>Образцовое</t>
  </si>
  <si>
    <t>03632415</t>
  </si>
  <si>
    <t>03632417</t>
  </si>
  <si>
    <t>Уманское</t>
  </si>
  <si>
    <t>03632416</t>
  </si>
  <si>
    <t>Мостовский муниципальный район</t>
  </si>
  <si>
    <t>03633000</t>
  </si>
  <si>
    <t>Андрюковское</t>
  </si>
  <si>
    <t>03633404</t>
  </si>
  <si>
    <t>Баговское</t>
  </si>
  <si>
    <t>03633407</t>
  </si>
  <si>
    <t>Беноковское</t>
  </si>
  <si>
    <t>03633410</t>
  </si>
  <si>
    <t>Бесленеевское</t>
  </si>
  <si>
    <t>03633413</t>
  </si>
  <si>
    <t>Губское</t>
  </si>
  <si>
    <t>03633422</t>
  </si>
  <si>
    <t>Костромское</t>
  </si>
  <si>
    <t>03633431</t>
  </si>
  <si>
    <t>Краснокутское</t>
  </si>
  <si>
    <t>03633434</t>
  </si>
  <si>
    <t>Махошевское</t>
  </si>
  <si>
    <t>03633440</t>
  </si>
  <si>
    <t>Мостовское городское</t>
  </si>
  <si>
    <t>03633151</t>
  </si>
  <si>
    <t>Переправненское</t>
  </si>
  <si>
    <t>03633449</t>
  </si>
  <si>
    <t>Псебайское городское</t>
  </si>
  <si>
    <t>03633156</t>
  </si>
  <si>
    <t>Унароковское</t>
  </si>
  <si>
    <t>03633452</t>
  </si>
  <si>
    <t>Шедокское</t>
  </si>
  <si>
    <t>03633461</t>
  </si>
  <si>
    <t>Ярославское</t>
  </si>
  <si>
    <t>03633464</t>
  </si>
  <si>
    <t>Новокубанский муниципальный район</t>
  </si>
  <si>
    <t>03634000</t>
  </si>
  <si>
    <t>Бесскорбненское</t>
  </si>
  <si>
    <t>03634402</t>
  </si>
  <si>
    <t>Верхнекубанское</t>
  </si>
  <si>
    <t>03634403</t>
  </si>
  <si>
    <t>Ковалевское</t>
  </si>
  <si>
    <t>03634407</t>
  </si>
  <si>
    <t>Ляпинское</t>
  </si>
  <si>
    <t>03634413</t>
  </si>
  <si>
    <t>Новокубанское городское</t>
  </si>
  <si>
    <t>03634101</t>
  </si>
  <si>
    <t>03634422</t>
  </si>
  <si>
    <t>Прикубанское</t>
  </si>
  <si>
    <t>03634425</t>
  </si>
  <si>
    <t>Прочноокопское</t>
  </si>
  <si>
    <t>03634428</t>
  </si>
  <si>
    <t>Советское</t>
  </si>
  <si>
    <t>03634431</t>
  </si>
  <si>
    <t>Новопокровский муниципальный район</t>
  </si>
  <si>
    <t>03635000</t>
  </si>
  <si>
    <t>Горькобалковское</t>
  </si>
  <si>
    <t>03635402</t>
  </si>
  <si>
    <t>03635404</t>
  </si>
  <si>
    <t>Калниболотское</t>
  </si>
  <si>
    <t>03635407</t>
  </si>
  <si>
    <t>03635410</t>
  </si>
  <si>
    <t>Незамаевское</t>
  </si>
  <si>
    <t>03635413</t>
  </si>
  <si>
    <t>Новоивановское</t>
  </si>
  <si>
    <t>03635416</t>
  </si>
  <si>
    <t>Новопокровское</t>
  </si>
  <si>
    <t>03635419</t>
  </si>
  <si>
    <t>Покровское</t>
  </si>
  <si>
    <t>03635422</t>
  </si>
  <si>
    <t>Отрадненский муниципальный район</t>
  </si>
  <si>
    <t>03637000</t>
  </si>
  <si>
    <t>Бесстрашненское</t>
  </si>
  <si>
    <t>03637401</t>
  </si>
  <si>
    <t>Благодарненское</t>
  </si>
  <si>
    <t>03637402</t>
  </si>
  <si>
    <t>03637404</t>
  </si>
  <si>
    <t>Малотенгинское</t>
  </si>
  <si>
    <t>03637407</t>
  </si>
  <si>
    <t>Маякское</t>
  </si>
  <si>
    <t>03637408</t>
  </si>
  <si>
    <t>Надежненское</t>
  </si>
  <si>
    <t>03637410</t>
  </si>
  <si>
    <t>Отрадненское</t>
  </si>
  <si>
    <t>03637413</t>
  </si>
  <si>
    <t>Передовское</t>
  </si>
  <si>
    <t>03637416</t>
  </si>
  <si>
    <t>Подгорненское</t>
  </si>
  <si>
    <t>03637419</t>
  </si>
  <si>
    <t>Подгорно-Синюхинское</t>
  </si>
  <si>
    <t>03637422</t>
  </si>
  <si>
    <t>Попутненское</t>
  </si>
  <si>
    <t>03637425</t>
  </si>
  <si>
    <t>Рудьевское</t>
  </si>
  <si>
    <t>03637426</t>
  </si>
  <si>
    <t>Спокойненское</t>
  </si>
  <si>
    <t>03637428</t>
  </si>
  <si>
    <t>Удобненское</t>
  </si>
  <si>
    <t>03637431</t>
  </si>
  <si>
    <t>Павловский муниципальный район</t>
  </si>
  <si>
    <t>03639000</t>
  </si>
  <si>
    <t>Атаманское</t>
  </si>
  <si>
    <t>03639402</t>
  </si>
  <si>
    <t>Веселовское</t>
  </si>
  <si>
    <t>03639404</t>
  </si>
  <si>
    <t>03639410</t>
  </si>
  <si>
    <t>Новолеушковское</t>
  </si>
  <si>
    <t>03639413</t>
  </si>
  <si>
    <t>Новопетровское</t>
  </si>
  <si>
    <t>03639419</t>
  </si>
  <si>
    <t>Новопластуновское</t>
  </si>
  <si>
    <t>03639422</t>
  </si>
  <si>
    <t>Павловское</t>
  </si>
  <si>
    <t>03639428</t>
  </si>
  <si>
    <t>Северное</t>
  </si>
  <si>
    <t>03639430</t>
  </si>
  <si>
    <t>Среднечелбасское</t>
  </si>
  <si>
    <t>03639431</t>
  </si>
  <si>
    <t>Старолеушковское</t>
  </si>
  <si>
    <t>03639434</t>
  </si>
  <si>
    <t>03639440</t>
  </si>
  <si>
    <t>Приморско-Ахтарский муниципальный район</t>
  </si>
  <si>
    <t>03641000</t>
  </si>
  <si>
    <t>Ахтарское</t>
  </si>
  <si>
    <t>03641401</t>
  </si>
  <si>
    <t>Бородинское</t>
  </si>
  <si>
    <t>03641402</t>
  </si>
  <si>
    <t>Бриньковское</t>
  </si>
  <si>
    <t>03641404</t>
  </si>
  <si>
    <t>03641407</t>
  </si>
  <si>
    <t>03641410</t>
  </si>
  <si>
    <t>Приазовское</t>
  </si>
  <si>
    <t>03641413</t>
  </si>
  <si>
    <t>Приморско-Ахтарское городское</t>
  </si>
  <si>
    <t>03641101</t>
  </si>
  <si>
    <t>Свободное</t>
  </si>
  <si>
    <t>03641416</t>
  </si>
  <si>
    <t>Степное</t>
  </si>
  <si>
    <t>03641419</t>
  </si>
  <si>
    <t>Северский муниципальный район</t>
  </si>
  <si>
    <t>03643000</t>
  </si>
  <si>
    <t>Азовское</t>
  </si>
  <si>
    <t>03643402</t>
  </si>
  <si>
    <t>Афипское городское</t>
  </si>
  <si>
    <t>03643152</t>
  </si>
  <si>
    <t>Григорьевское</t>
  </si>
  <si>
    <t>03643404</t>
  </si>
  <si>
    <t>Ильское городское</t>
  </si>
  <si>
    <t>03643155</t>
  </si>
  <si>
    <t>Калужское</t>
  </si>
  <si>
    <t>03643406</t>
  </si>
  <si>
    <t>Львовское</t>
  </si>
  <si>
    <t>03643407</t>
  </si>
  <si>
    <t>03643408</t>
  </si>
  <si>
    <t>Новодмитриевское</t>
  </si>
  <si>
    <t>03643410</t>
  </si>
  <si>
    <t>Северское</t>
  </si>
  <si>
    <t>03643413</t>
  </si>
  <si>
    <t>Смоленское</t>
  </si>
  <si>
    <t>03643416</t>
  </si>
  <si>
    <t>Черноморское</t>
  </si>
  <si>
    <t>03643158</t>
  </si>
  <si>
    <t>Шабановское</t>
  </si>
  <si>
    <t>03643419</t>
  </si>
  <si>
    <t>Славянский муниципальный район</t>
  </si>
  <si>
    <t>03645000</t>
  </si>
  <si>
    <t>Анастасиевское</t>
  </si>
  <si>
    <t>03645402</t>
  </si>
  <si>
    <t>Ачуевское</t>
  </si>
  <si>
    <t>03645401</t>
  </si>
  <si>
    <t>Голубая Нива</t>
  </si>
  <si>
    <t>03645403</t>
  </si>
  <si>
    <t>Забойское</t>
  </si>
  <si>
    <t>03645404</t>
  </si>
  <si>
    <t>Кировское</t>
  </si>
  <si>
    <t>03645407</t>
  </si>
  <si>
    <t>Коржевское</t>
  </si>
  <si>
    <t>03645410</t>
  </si>
  <si>
    <t>Маевское</t>
  </si>
  <si>
    <t>03645412</t>
  </si>
  <si>
    <t>Петровское</t>
  </si>
  <si>
    <t>03645413</t>
  </si>
  <si>
    <t>Прибрежное</t>
  </si>
  <si>
    <t>03645414</t>
  </si>
  <si>
    <t>03645415</t>
  </si>
  <si>
    <t>Протокское</t>
  </si>
  <si>
    <t>03645416</t>
  </si>
  <si>
    <t>Рисовое</t>
  </si>
  <si>
    <t>03645420</t>
  </si>
  <si>
    <t>Славянское городское</t>
  </si>
  <si>
    <t>03645101</t>
  </si>
  <si>
    <t>Целинное</t>
  </si>
  <si>
    <t>03645425</t>
  </si>
  <si>
    <t>Черноерковское</t>
  </si>
  <si>
    <t>03645429</t>
  </si>
  <si>
    <t>Староминский муниципальный район</t>
  </si>
  <si>
    <t>03647000</t>
  </si>
  <si>
    <t>Канеловское</t>
  </si>
  <si>
    <t>03647402</t>
  </si>
  <si>
    <t>03647404</t>
  </si>
  <si>
    <t>Новоясенское</t>
  </si>
  <si>
    <t>03647407</t>
  </si>
  <si>
    <t>Рассветовское</t>
  </si>
  <si>
    <t>03647410</t>
  </si>
  <si>
    <t>Староминское</t>
  </si>
  <si>
    <t>03647413</t>
  </si>
  <si>
    <t>Тбилисский муниципальный район</t>
  </si>
  <si>
    <t>03649000</t>
  </si>
  <si>
    <t>Алексее-Тенгинское</t>
  </si>
  <si>
    <t>03649401</t>
  </si>
  <si>
    <t>Ванновское</t>
  </si>
  <si>
    <t>03649402</t>
  </si>
  <si>
    <t>Геймановское</t>
  </si>
  <si>
    <t>03649404</t>
  </si>
  <si>
    <t>Ловлинское</t>
  </si>
  <si>
    <t>03649407</t>
  </si>
  <si>
    <t>Марьинское</t>
  </si>
  <si>
    <t>03649410</t>
  </si>
  <si>
    <t>Нововладимировское</t>
  </si>
  <si>
    <t>03649413</t>
  </si>
  <si>
    <t>Песчаное</t>
  </si>
  <si>
    <t>03649416</t>
  </si>
  <si>
    <t>Тбилисское</t>
  </si>
  <si>
    <t>03649419</t>
  </si>
  <si>
    <t>Темрюкский муниципальный район</t>
  </si>
  <si>
    <t>03651000</t>
  </si>
  <si>
    <t>Ахтанизовское</t>
  </si>
  <si>
    <t>03651402</t>
  </si>
  <si>
    <t>Вышестеблиевское</t>
  </si>
  <si>
    <t>03651404</t>
  </si>
  <si>
    <t>Голубицкое</t>
  </si>
  <si>
    <t>03651407</t>
  </si>
  <si>
    <t>Запорожское</t>
  </si>
  <si>
    <t>03651410</t>
  </si>
  <si>
    <t>Краснострельское</t>
  </si>
  <si>
    <t>03651413</t>
  </si>
  <si>
    <t>Курчанское</t>
  </si>
  <si>
    <t>03651416</t>
  </si>
  <si>
    <t>Новотаманское</t>
  </si>
  <si>
    <t>03651418</t>
  </si>
  <si>
    <t>Сенное</t>
  </si>
  <si>
    <t>03651419</t>
  </si>
  <si>
    <t>Старотитаровское</t>
  </si>
  <si>
    <t>03651422</t>
  </si>
  <si>
    <t>Таманское</t>
  </si>
  <si>
    <t>03651425</t>
  </si>
  <si>
    <t>Темрюкское городское</t>
  </si>
  <si>
    <t>03651101</t>
  </si>
  <si>
    <t>Фонталовское</t>
  </si>
  <si>
    <t>03651430</t>
  </si>
  <si>
    <t>Тимашевский муниципальный район</t>
  </si>
  <si>
    <t>03653000</t>
  </si>
  <si>
    <t>Дербентское</t>
  </si>
  <si>
    <t>03653402</t>
  </si>
  <si>
    <t>Днепровское</t>
  </si>
  <si>
    <t>03653404</t>
  </si>
  <si>
    <t>Кубанец</t>
  </si>
  <si>
    <t>03653410</t>
  </si>
  <si>
    <t>Медведовское</t>
  </si>
  <si>
    <t>03653413</t>
  </si>
  <si>
    <t>Незаймановское</t>
  </si>
  <si>
    <t>03653416</t>
  </si>
  <si>
    <t>Новокорсунское</t>
  </si>
  <si>
    <t>03653419</t>
  </si>
  <si>
    <t>Новоленинское</t>
  </si>
  <si>
    <t>03653422</t>
  </si>
  <si>
    <t>Поселковое</t>
  </si>
  <si>
    <t>03653425</t>
  </si>
  <si>
    <t>Роговское</t>
  </si>
  <si>
    <t>03653428</t>
  </si>
  <si>
    <t>Тимашевское городское</t>
  </si>
  <si>
    <t>03653101</t>
  </si>
  <si>
    <t>Тихорецкий муниципальный район</t>
  </si>
  <si>
    <t>03654000</t>
  </si>
  <si>
    <t>Алексеевское</t>
  </si>
  <si>
    <t>03654402</t>
  </si>
  <si>
    <t>Архангельское</t>
  </si>
  <si>
    <t>03654404</t>
  </si>
  <si>
    <t>Братское</t>
  </si>
  <si>
    <t>03654405</t>
  </si>
  <si>
    <t>Еремизино-Борисовское</t>
  </si>
  <si>
    <t>03654407</t>
  </si>
  <si>
    <t>Крутое</t>
  </si>
  <si>
    <t>03654408</t>
  </si>
  <si>
    <t>Новорождественское</t>
  </si>
  <si>
    <t>03654410</t>
  </si>
  <si>
    <t>03654413</t>
  </si>
  <si>
    <t>Парковское</t>
  </si>
  <si>
    <t>03654416</t>
  </si>
  <si>
    <t>Терновское</t>
  </si>
  <si>
    <t>03654419</t>
  </si>
  <si>
    <t>Тихорецкое городское</t>
  </si>
  <si>
    <t>03654101</t>
  </si>
  <si>
    <t>Фастовецкое</t>
  </si>
  <si>
    <t>03654422</t>
  </si>
  <si>
    <t>Хоперское</t>
  </si>
  <si>
    <t>03654425</t>
  </si>
  <si>
    <t>Юго-Северное</t>
  </si>
  <si>
    <t>03654435</t>
  </si>
  <si>
    <t>Туапсинский муниципальный район</t>
  </si>
  <si>
    <t>03655000</t>
  </si>
  <si>
    <t>Вельяминовское</t>
  </si>
  <si>
    <t>03655404</t>
  </si>
  <si>
    <t>Георгиевское</t>
  </si>
  <si>
    <t>03655407</t>
  </si>
  <si>
    <t>Джубгское городское</t>
  </si>
  <si>
    <t>03655154</t>
  </si>
  <si>
    <t>Небугское</t>
  </si>
  <si>
    <t>03655402</t>
  </si>
  <si>
    <t>Новомихайловское городское</t>
  </si>
  <si>
    <t>03655158</t>
  </si>
  <si>
    <t>03655410</t>
  </si>
  <si>
    <t>Тенгинское</t>
  </si>
  <si>
    <t>03655412</t>
  </si>
  <si>
    <t>Туапсинское</t>
  </si>
  <si>
    <t>03655101</t>
  </si>
  <si>
    <t>Шаумянское</t>
  </si>
  <si>
    <t>03655413</t>
  </si>
  <si>
    <t>Шепсинское</t>
  </si>
  <si>
    <t>03655415</t>
  </si>
  <si>
    <t>Успенский муниципальный район</t>
  </si>
  <si>
    <t>03656000</t>
  </si>
  <si>
    <t>03656402</t>
  </si>
  <si>
    <t>Вольненское</t>
  </si>
  <si>
    <t>03656404</t>
  </si>
  <si>
    <t>Коноковское</t>
  </si>
  <si>
    <t>03656410</t>
  </si>
  <si>
    <t>Кургоковское</t>
  </si>
  <si>
    <t>03656413</t>
  </si>
  <si>
    <t>Маламинское</t>
  </si>
  <si>
    <t>03656416</t>
  </si>
  <si>
    <t>Николаевское</t>
  </si>
  <si>
    <t>03656419</t>
  </si>
  <si>
    <t>Трехсельское</t>
  </si>
  <si>
    <t>03656434</t>
  </si>
  <si>
    <t>Убеженское</t>
  </si>
  <si>
    <t>03656437</t>
  </si>
  <si>
    <t>Урупское</t>
  </si>
  <si>
    <t>03656440</t>
  </si>
  <si>
    <t>03656443</t>
  </si>
  <si>
    <t>Усть-Лабинский муниципальный район</t>
  </si>
  <si>
    <t>03657000</t>
  </si>
  <si>
    <t>03657402</t>
  </si>
  <si>
    <t>03657404</t>
  </si>
  <si>
    <t>Вимовское</t>
  </si>
  <si>
    <t>03657405</t>
  </si>
  <si>
    <t>Воронежское</t>
  </si>
  <si>
    <t>03657407</t>
  </si>
  <si>
    <t>03657410</t>
  </si>
  <si>
    <t>Двубратское</t>
  </si>
  <si>
    <t>03657412</t>
  </si>
  <si>
    <t>Железное</t>
  </si>
  <si>
    <t>03657413</t>
  </si>
  <si>
    <t>Кирпильское</t>
  </si>
  <si>
    <t>03657416</t>
  </si>
  <si>
    <t>Ладожское</t>
  </si>
  <si>
    <t>03657419</t>
  </si>
  <si>
    <t>Ленинское</t>
  </si>
  <si>
    <t>03657422</t>
  </si>
  <si>
    <t>Некрасовское</t>
  </si>
  <si>
    <t>03657425</t>
  </si>
  <si>
    <t>Новолабинское</t>
  </si>
  <si>
    <t>03657428</t>
  </si>
  <si>
    <t>Суворовское</t>
  </si>
  <si>
    <t>03657431</t>
  </si>
  <si>
    <t>03657433</t>
  </si>
  <si>
    <t>Усть-Лабинское городское</t>
  </si>
  <si>
    <t>03657101</t>
  </si>
  <si>
    <t>Щербиновский муниципальный район</t>
  </si>
  <si>
    <t>03659000</t>
  </si>
  <si>
    <t>Глафировское</t>
  </si>
  <si>
    <t>03659402</t>
  </si>
  <si>
    <t>Ейскоукрепленское</t>
  </si>
  <si>
    <t>03659404</t>
  </si>
  <si>
    <t>Екатериновское</t>
  </si>
  <si>
    <t>03659407</t>
  </si>
  <si>
    <t>03659409</t>
  </si>
  <si>
    <t>Новощербиновское</t>
  </si>
  <si>
    <t>03659410</t>
  </si>
  <si>
    <t>Старощербиновское</t>
  </si>
  <si>
    <t>03659413</t>
  </si>
  <si>
    <t>Шабельское</t>
  </si>
  <si>
    <t>03659416</t>
  </si>
  <si>
    <t>Щербиновское</t>
  </si>
  <si>
    <t>03659419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</si>
  <si>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</si>
  <si>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</si>
  <si>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</si>
  <si>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</si>
  <si>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</si>
  <si>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</si>
  <si>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</si>
  <si>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</si>
  <si>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</si>
  <si>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</si>
  <si>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</si>
  <si>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</si>
  <si>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</si>
  <si>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</si>
  <si>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</si>
  <si>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</si>
  <si>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</si>
  <si>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</si>
  <si>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</si>
  <si>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</si>
  <si>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</si>
  <si>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</si>
  <si>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</si>
  <si>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</si>
  <si>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</si>
  <si>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</si>
  <si>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</si>
  <si>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</si>
  <si>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</si>
  <si>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</si>
  <si>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</si>
  <si>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</si>
  <si>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</si>
  <si>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</si>
  <si>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</si>
  <si>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</si>
  <si>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</si>
  <si>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</si>
  <si>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</si>
  <si>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</si>
  <si>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</si>
  <si>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</si>
  <si>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</si>
  <si>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</si>
  <si>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МО_ТИП</t>
  </si>
  <si>
    <t>REGION_ID</t>
  </si>
  <si>
    <t>REGION_NAME</t>
  </si>
  <si>
    <t>OKTMR_NAME</t>
  </si>
  <si>
    <t>ORG_START_DATE</t>
  </si>
  <si>
    <t>ORG_END_DATE</t>
  </si>
  <si>
    <t>VDET_START_DATE</t>
  </si>
  <si>
    <t>VDET_END_DATE</t>
  </si>
  <si>
    <t>VDET_NAME_LIST</t>
  </si>
  <si>
    <t>VDET_FULL_NAME_LIST</t>
  </si>
  <si>
    <t>2622</t>
  </si>
  <si>
    <t>010501001</t>
  </si>
  <si>
    <t>Комбинированная выработка :: Некомбинированная выработка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</si>
  <si>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</si>
  <si>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30436504</t>
  </si>
  <si>
    <t>АО "АПБЭ"</t>
  </si>
  <si>
    <t>7729530055</t>
  </si>
  <si>
    <t>772401001</t>
  </si>
  <si>
    <t>Нерегулируемый сбыт</t>
  </si>
  <si>
    <t>/Электроэнергетика/Сбыт ЭЭ/Нерегулируемый сбыт</t>
  </si>
  <si>
    <t>30892006</t>
  </si>
  <si>
    <t>АО "ВЕТРООГК"</t>
  </si>
  <si>
    <t>5036118291</t>
  </si>
  <si>
    <t>19-10-2016 00:00:00</t>
  </si>
  <si>
    <t>Некомбинированная выработка</t>
  </si>
  <si>
    <t>/Электроэнергетика/Производство ЭЭ/Некомбинированная выработка</t>
  </si>
  <si>
    <t>28796046</t>
  </si>
  <si>
    <t>АО "ГТ Энерго"</t>
  </si>
  <si>
    <t>7703806647</t>
  </si>
  <si>
    <t>772801001</t>
  </si>
  <si>
    <t>Комбинированная выработка</t>
  </si>
  <si>
    <t>/Электроэнергетика/Производство ЭЭ/Комбинированная выработка</t>
  </si>
  <si>
    <t>28146860</t>
  </si>
  <si>
    <t>АО "Интер РАО - Электрогенерация"</t>
  </si>
  <si>
    <t>7704784450</t>
  </si>
  <si>
    <t>770401001</t>
  </si>
  <si>
    <t>230901001</t>
  </si>
  <si>
    <t>РСО</t>
  </si>
  <si>
    <t>/Электроэнергетика/Передача ЭЭ/РСО</t>
  </si>
  <si>
    <t>АО "Кубаньжелдормаш"</t>
  </si>
  <si>
    <t>230201001</t>
  </si>
  <si>
    <t>26355062</t>
  </si>
  <si>
    <t>АО "Международный аэропорт "Краснодар"</t>
  </si>
  <si>
    <t>2312126429</t>
  </si>
  <si>
    <t>231201001</t>
  </si>
  <si>
    <t>03-04-2006 00:00:00</t>
  </si>
  <si>
    <t>28061874</t>
  </si>
  <si>
    <t>АО "Международный аэропорт Сочи"</t>
  </si>
  <si>
    <t>2317044843</t>
  </si>
  <si>
    <t>230750001</t>
  </si>
  <si>
    <t>26792763</t>
  </si>
  <si>
    <t>АО "Мобильные ГТЭС"</t>
  </si>
  <si>
    <t>7706627050</t>
  </si>
  <si>
    <t>231532001</t>
  </si>
  <si>
    <t>26318876</t>
  </si>
  <si>
    <t>АО "Мосэнергосбыт"</t>
  </si>
  <si>
    <t>7736520080</t>
  </si>
  <si>
    <t>997650001</t>
  </si>
  <si>
    <t>26318914</t>
  </si>
  <si>
    <t>АО "НЭСК"</t>
  </si>
  <si>
    <t>2308091759</t>
  </si>
  <si>
    <t>230801001</t>
  </si>
  <si>
    <t>ГП</t>
  </si>
  <si>
    <t>/Электроэнергетика/Сбыт ЭЭ/ГП</t>
  </si>
  <si>
    <t>26319807</t>
  </si>
  <si>
    <t>АО "НЭСК-электросети"</t>
  </si>
  <si>
    <t>2308139496</t>
  </si>
  <si>
    <t>26319795</t>
  </si>
  <si>
    <t>АО "Нефтегазтехнология-Энергия"</t>
  </si>
  <si>
    <t>2349017673</t>
  </si>
  <si>
    <t>234901001</t>
  </si>
  <si>
    <t>26355079</t>
  </si>
  <si>
    <t>АО "Новорослесэкспорт"</t>
  </si>
  <si>
    <t>2315014794</t>
  </si>
  <si>
    <t>26318583</t>
  </si>
  <si>
    <t>АО "Новороссийский судоремонтный завод"</t>
  </si>
  <si>
    <t>2315007476</t>
  </si>
  <si>
    <t>231501001</t>
  </si>
  <si>
    <t>26651986</t>
  </si>
  <si>
    <t>АО "Оборонэнерго" Филиал "Южный"</t>
  </si>
  <si>
    <t>7704726225</t>
  </si>
  <si>
    <t>616543001</t>
  </si>
  <si>
    <t>26355077</t>
  </si>
  <si>
    <t>АО "Прибой"</t>
  </si>
  <si>
    <t>2315012170</t>
  </si>
  <si>
    <t>26318579</t>
  </si>
  <si>
    <t>АО "РАМО-М" (филиал "КВЭП" АО "РАМО-М")</t>
  </si>
  <si>
    <t>7719113976</t>
  </si>
  <si>
    <t>231143001</t>
  </si>
  <si>
    <t>26355155</t>
  </si>
  <si>
    <t>АО "Сахарный завод "Свобода"</t>
  </si>
  <si>
    <t>2356030749</t>
  </si>
  <si>
    <t>235601001</t>
  </si>
  <si>
    <t>236501001</t>
  </si>
  <si>
    <t>26318587</t>
  </si>
  <si>
    <t>АО "Успенский сахарник"</t>
  </si>
  <si>
    <t>2357005329</t>
  </si>
  <si>
    <t>235701001</t>
  </si>
  <si>
    <t>770301001</t>
  </si>
  <si>
    <t>27660539</t>
  </si>
  <si>
    <t>АО «Интер РАО-Электрогенерация» филиал «Джубгинская ТЭС»</t>
  </si>
  <si>
    <t>236543001</t>
  </si>
  <si>
    <t>26468785</t>
  </si>
  <si>
    <t>АО фирма "Агрокомплекс"</t>
  </si>
  <si>
    <t>2328000083</t>
  </si>
  <si>
    <t>232801001</t>
  </si>
  <si>
    <t>14-10-2002 00:00:00</t>
  </si>
  <si>
    <t>30809205</t>
  </si>
  <si>
    <t>ЗАО "Каневскагропромэнерго"</t>
  </si>
  <si>
    <t>2334001286</t>
  </si>
  <si>
    <t>233401001</t>
  </si>
  <si>
    <t>26319775</t>
  </si>
  <si>
    <t>ЗАО "Сахарный комбинат "Курганинский"</t>
  </si>
  <si>
    <t>2339014560</t>
  </si>
  <si>
    <t>233901001</t>
  </si>
  <si>
    <t>26355148</t>
  </si>
  <si>
    <t>ЗАО "Сахарный комбинат "Тихорецкий"</t>
  </si>
  <si>
    <t>2354009290</t>
  </si>
  <si>
    <t>235401001</t>
  </si>
  <si>
    <t>15-09-2008 00:00:00</t>
  </si>
  <si>
    <t>26355143</t>
  </si>
  <si>
    <t>ЗАО "Тбилисский сахарный завод"</t>
  </si>
  <si>
    <t>2351007672</t>
  </si>
  <si>
    <t>235101001</t>
  </si>
  <si>
    <t>26814742</t>
  </si>
  <si>
    <t>7710430593</t>
  </si>
  <si>
    <t>771001001</t>
  </si>
  <si>
    <t>26486600</t>
  </si>
  <si>
    <t>ОАО "Адыгэнергострой"</t>
  </si>
  <si>
    <t>0105027049</t>
  </si>
  <si>
    <t>25-11-1997 00:00:00</t>
  </si>
  <si>
    <t>26355135</t>
  </si>
  <si>
    <t>ОАО "Викор"</t>
  </si>
  <si>
    <t>2344001775</t>
  </si>
  <si>
    <t>234401001</t>
  </si>
  <si>
    <t>21-08-2002 00:00:00</t>
  </si>
  <si>
    <t>26355019</t>
  </si>
  <si>
    <t>2311015116</t>
  </si>
  <si>
    <t>231101001</t>
  </si>
  <si>
    <t>26355132</t>
  </si>
  <si>
    <t>ОАО "Кристалл-2"</t>
  </si>
  <si>
    <t>2343000063</t>
  </si>
  <si>
    <t>234301001</t>
  </si>
  <si>
    <t>28447273</t>
  </si>
  <si>
    <t>ОАО "МЖК "Краснодарский"</t>
  </si>
  <si>
    <t>2310043294</t>
  </si>
  <si>
    <t>231001001</t>
  </si>
  <si>
    <t>17-07-2002 00:00:00</t>
  </si>
  <si>
    <t>26499763</t>
  </si>
  <si>
    <t>ОАО "Российские Железные Дороги"</t>
  </si>
  <si>
    <t>7708503727</t>
  </si>
  <si>
    <t>616745011</t>
  </si>
  <si>
    <t>26355128</t>
  </si>
  <si>
    <t>ОАО "СЗЛ"</t>
  </si>
  <si>
    <t>2341006687</t>
  </si>
  <si>
    <t>234101001</t>
  </si>
  <si>
    <t>12-09-2002 00:00:00</t>
  </si>
  <si>
    <t>26319785</t>
  </si>
  <si>
    <t>ОАО "Сатурн"</t>
  </si>
  <si>
    <t>2311006961</t>
  </si>
  <si>
    <t>28261852</t>
  </si>
  <si>
    <t>ОАО "огк-2"</t>
  </si>
  <si>
    <t>2357005826</t>
  </si>
  <si>
    <t>231743001</t>
  </si>
  <si>
    <t>31096034</t>
  </si>
  <si>
    <t>ОАО «Верхнебаканский цементный завод»</t>
  </si>
  <si>
    <t>2315076504</t>
  </si>
  <si>
    <t>26837653</t>
  </si>
  <si>
    <t>ОАО ГК «ТНС энерго»</t>
  </si>
  <si>
    <t>7705541227</t>
  </si>
  <si>
    <t>770201001</t>
  </si>
  <si>
    <t>27890654</t>
  </si>
  <si>
    <t>ООО "АКСОЙ"</t>
  </si>
  <si>
    <t>2312171950</t>
  </si>
  <si>
    <t>05-07-2012 00:00:00</t>
  </si>
  <si>
    <t>30808980</t>
  </si>
  <si>
    <t>ООО "Агропромышленные активы"</t>
  </si>
  <si>
    <t>2337044288</t>
  </si>
  <si>
    <t>233701001</t>
  </si>
  <si>
    <t>28817770</t>
  </si>
  <si>
    <t>ООО "Алга"</t>
  </si>
  <si>
    <t>2304036186</t>
  </si>
  <si>
    <t>230401001</t>
  </si>
  <si>
    <t>30793860</t>
  </si>
  <si>
    <t>ООО "Альтернатива - Энерго-Сбыт"</t>
  </si>
  <si>
    <t>2312208086</t>
  </si>
  <si>
    <t>12-10-2015 00:00:00</t>
  </si>
  <si>
    <t>26551826</t>
  </si>
  <si>
    <t>ООО "Афипский НПЗ"</t>
  </si>
  <si>
    <t>7704214548</t>
  </si>
  <si>
    <t>12-02-2003 00:00:00</t>
  </si>
  <si>
    <t>27666064</t>
  </si>
  <si>
    <t>ООО "ВЕТРОЭН-ЮГ"</t>
  </si>
  <si>
    <t>2309101992</t>
  </si>
  <si>
    <t>28135831</t>
  </si>
  <si>
    <t>ООО "ВН-Энерготрейд"</t>
  </si>
  <si>
    <t>5048024231</t>
  </si>
  <si>
    <t>504801001</t>
  </si>
  <si>
    <t>26319784</t>
  </si>
  <si>
    <t>ООО "ВТ-Ресурс"</t>
  </si>
  <si>
    <t>2315129675</t>
  </si>
  <si>
    <t>27666060</t>
  </si>
  <si>
    <t>ООО "ВЭС-Мирный"</t>
  </si>
  <si>
    <t>2361005272</t>
  </si>
  <si>
    <t>236101001</t>
  </si>
  <si>
    <t>26613700</t>
  </si>
  <si>
    <t>ООО "Гарант Энерго"</t>
  </si>
  <si>
    <t>7709782777</t>
  </si>
  <si>
    <t>770901001</t>
  </si>
  <si>
    <t>30894836</t>
  </si>
  <si>
    <t>ООО "Город Солнца"</t>
  </si>
  <si>
    <t>2320224042</t>
  </si>
  <si>
    <t>232001001</t>
  </si>
  <si>
    <t>20-03-2017 00:00:00</t>
  </si>
  <si>
    <t>30911713</t>
  </si>
  <si>
    <t>ООО "ЕЭС-Гарант"</t>
  </si>
  <si>
    <t>5024173259</t>
  </si>
  <si>
    <t>502401001</t>
  </si>
  <si>
    <t>01-03-2017 00:00:00</t>
  </si>
  <si>
    <t>27745288</t>
  </si>
  <si>
    <t>ООО "ЕвроХим-Белореченские Минудобрения"</t>
  </si>
  <si>
    <t>2303025270</t>
  </si>
  <si>
    <t>26786376</t>
  </si>
  <si>
    <t>ООО "ИнвестГрупп-Энерджи"</t>
  </si>
  <si>
    <t>7724654924</t>
  </si>
  <si>
    <t>26319811</t>
  </si>
  <si>
    <t>ООО "КВЭП"</t>
  </si>
  <si>
    <t>2311085794</t>
  </si>
  <si>
    <t>26804488</t>
  </si>
  <si>
    <t>ООО "КНАУФ ЭНЕРГИЯ"</t>
  </si>
  <si>
    <t>7729677594</t>
  </si>
  <si>
    <t>772901001</t>
  </si>
  <si>
    <t>26559006</t>
  </si>
  <si>
    <t>ООО "КЭС"</t>
  </si>
  <si>
    <t>2308138781</t>
  </si>
  <si>
    <t>31191706</t>
  </si>
  <si>
    <t>2308251530</t>
  </si>
  <si>
    <t>30920367</t>
  </si>
  <si>
    <t>ООО "Квант"</t>
  </si>
  <si>
    <t>2309137928</t>
  </si>
  <si>
    <t>28468279</t>
  </si>
  <si>
    <t>ООО "КомЭнерго"</t>
  </si>
  <si>
    <t>2315177580</t>
  </si>
  <si>
    <t>01-01-2013 00:00:00</t>
  </si>
  <si>
    <t>26319792</t>
  </si>
  <si>
    <t>ООО "Краснодар Водоканал"</t>
  </si>
  <si>
    <t>2308111927</t>
  </si>
  <si>
    <t>01-11-2005 00:00:00</t>
  </si>
  <si>
    <t>27977806</t>
  </si>
  <si>
    <t>ООО "Краснодарэнерго"</t>
  </si>
  <si>
    <t>2308190012</t>
  </si>
  <si>
    <t>28-06-2012 00:00:00</t>
  </si>
  <si>
    <t>26535660</t>
  </si>
  <si>
    <t>ООО "КубаньРесурс"</t>
  </si>
  <si>
    <t>2312125680</t>
  </si>
  <si>
    <t>26606488</t>
  </si>
  <si>
    <t>ООО "Кубаньречфлот-сервис"</t>
  </si>
  <si>
    <t>2309121163</t>
  </si>
  <si>
    <t>22-03-2010 00:00:00</t>
  </si>
  <si>
    <t>28882049</t>
  </si>
  <si>
    <t>ООО "Кубаньэлектросеть"</t>
  </si>
  <si>
    <t>2334024928</t>
  </si>
  <si>
    <t>26487627</t>
  </si>
  <si>
    <t>ООО "ЛУКОЙЛ-Кубаньэнерго"</t>
  </si>
  <si>
    <t>2312159262</t>
  </si>
  <si>
    <t>26-02-2009 00:00:00</t>
  </si>
  <si>
    <t>26764871</t>
  </si>
  <si>
    <t>ООО "ЛУКОЙЛ-Экоэнерго"</t>
  </si>
  <si>
    <t>3015087458</t>
  </si>
  <si>
    <t>615250001</t>
  </si>
  <si>
    <t>30355164</t>
  </si>
  <si>
    <t>ООО "Легион"</t>
  </si>
  <si>
    <t>2308144129</t>
  </si>
  <si>
    <t>26516013</t>
  </si>
  <si>
    <t>ООО "МАРЭМ+"</t>
  </si>
  <si>
    <t>7702387915</t>
  </si>
  <si>
    <t>16-02-1998 00:00:00</t>
  </si>
  <si>
    <t>28075032</t>
  </si>
  <si>
    <t>ООО "МК-Инвест"</t>
  </si>
  <si>
    <t>2302059491</t>
  </si>
  <si>
    <t>31077220</t>
  </si>
  <si>
    <t>ООО "МТС ЭНЕРГО"</t>
  </si>
  <si>
    <t>9709006506</t>
  </si>
  <si>
    <t>28147378</t>
  </si>
  <si>
    <t>ООО "МагнитЭнерго"</t>
  </si>
  <si>
    <t>7715902899</t>
  </si>
  <si>
    <t>27667971</t>
  </si>
  <si>
    <t>771501001</t>
  </si>
  <si>
    <t>26522205</t>
  </si>
  <si>
    <t>ООО "Межрегиональная энергосбытовая компания" (ООО "Межрегионсбыт")</t>
  </si>
  <si>
    <t>7704550388</t>
  </si>
  <si>
    <t>773001001</t>
  </si>
  <si>
    <t>28821447</t>
  </si>
  <si>
    <t>ООО "Независимая Сбытовая Компания"</t>
  </si>
  <si>
    <t>2315186546</t>
  </si>
  <si>
    <t>30837914</t>
  </si>
  <si>
    <t>ООО "Павловский сахарный завод"</t>
  </si>
  <si>
    <t>2309140864</t>
  </si>
  <si>
    <t>236201001</t>
  </si>
  <si>
    <t>20-05-2016 00:00:00</t>
  </si>
  <si>
    <t>231901001</t>
  </si>
  <si>
    <t>26319777</t>
  </si>
  <si>
    <t>ООО "РН-Туапсинский НПЗ"</t>
  </si>
  <si>
    <t>2365004375</t>
  </si>
  <si>
    <t>997250001</t>
  </si>
  <si>
    <t>16-11-2005 00:00:00</t>
  </si>
  <si>
    <t>26416221</t>
  </si>
  <si>
    <t>ООО "РН-Энерго"</t>
  </si>
  <si>
    <t>7706525041</t>
  </si>
  <si>
    <t>02-05-2012 00:00:00</t>
  </si>
  <si>
    <t>27890708</t>
  </si>
  <si>
    <t>ООО "РОСТЭКЭЛЕКТРОСЕТИ"</t>
  </si>
  <si>
    <t>2312178995</t>
  </si>
  <si>
    <t>27968000</t>
  </si>
  <si>
    <t>ООО "Районная электросетевая компания"</t>
  </si>
  <si>
    <t>2334024251</t>
  </si>
  <si>
    <t>04-07-2012 00:00:00</t>
  </si>
  <si>
    <t>26318820</t>
  </si>
  <si>
    <t>ООО "Региональная энергосбытовая компания" (ОПП)</t>
  </si>
  <si>
    <t>4633017746</t>
  </si>
  <si>
    <t>463301001</t>
  </si>
  <si>
    <t>26406211</t>
  </si>
  <si>
    <t>ООО "Русэнергоресурс"</t>
  </si>
  <si>
    <t>7706288496</t>
  </si>
  <si>
    <t>770601001</t>
  </si>
  <si>
    <t>26502786</t>
  </si>
  <si>
    <t>ООО "Русэнергосбыт"</t>
  </si>
  <si>
    <t>7706284124</t>
  </si>
  <si>
    <t>26529733</t>
  </si>
  <si>
    <t>ООО "Свод Интернешнл"</t>
  </si>
  <si>
    <t>7730163480</t>
  </si>
  <si>
    <t>28945946</t>
  </si>
  <si>
    <t>ООО "Сервис Юг"</t>
  </si>
  <si>
    <t>2309141730</t>
  </si>
  <si>
    <t>30940209</t>
  </si>
  <si>
    <t>ООО "СетьЭнерго"</t>
  </si>
  <si>
    <t>2308242101</t>
  </si>
  <si>
    <t>02-02-2017 00:00:00</t>
  </si>
  <si>
    <t>30872330</t>
  </si>
  <si>
    <t>ООО "ТСК"</t>
  </si>
  <si>
    <t>2334025110</t>
  </si>
  <si>
    <t>30365586</t>
  </si>
  <si>
    <t>ООО "ТЭС"</t>
  </si>
  <si>
    <t>2360008665</t>
  </si>
  <si>
    <t>236001001</t>
  </si>
  <si>
    <t>03-08-2015 00:00:00</t>
  </si>
  <si>
    <t>26493650</t>
  </si>
  <si>
    <t>ООО "Теплоэнергодар"</t>
  </si>
  <si>
    <t>2315147890</t>
  </si>
  <si>
    <t>26611514</t>
  </si>
  <si>
    <t>ООО "ТранснефтьЭлектросетьСервис"</t>
  </si>
  <si>
    <t>6311049306</t>
  </si>
  <si>
    <t>631101001</t>
  </si>
  <si>
    <t>19-10-2000 00:00:00</t>
  </si>
  <si>
    <t>26497668</t>
  </si>
  <si>
    <t>ООО "Транснефтьэнерго"</t>
  </si>
  <si>
    <t>7703552167</t>
  </si>
  <si>
    <t>772301001</t>
  </si>
  <si>
    <t>01-07-2009 00:00:00</t>
  </si>
  <si>
    <t>30811560</t>
  </si>
  <si>
    <t>ООО "Трансэнерго"</t>
  </si>
  <si>
    <t>2334025417</t>
  </si>
  <si>
    <t>28275611</t>
  </si>
  <si>
    <t>ООО "Трансэнергосеть"</t>
  </si>
  <si>
    <t>2365021532</t>
  </si>
  <si>
    <t>21-06-2013 00:00:00</t>
  </si>
  <si>
    <t>26606609</t>
  </si>
  <si>
    <t>ООО "Фирма "Нефтестройиндустрия-Юг"</t>
  </si>
  <si>
    <t>2312088075</t>
  </si>
  <si>
    <t>26318591</t>
  </si>
  <si>
    <t>ООО "Хоста"</t>
  </si>
  <si>
    <t>2319018550</t>
  </si>
  <si>
    <t>28175700</t>
  </si>
  <si>
    <t>ООО "Центрэнерго"</t>
  </si>
  <si>
    <t>7703728269</t>
  </si>
  <si>
    <t>28445382</t>
  </si>
  <si>
    <t>ООО "ЭМ-сеть"</t>
  </si>
  <si>
    <t>2310171514</t>
  </si>
  <si>
    <t>27873181</t>
  </si>
  <si>
    <t>ООО "ЭНЕРГОГАРАНТ"</t>
  </si>
  <si>
    <t>2319050916</t>
  </si>
  <si>
    <t>28943648</t>
  </si>
  <si>
    <t>ООО "ЭСК "Независимость"</t>
  </si>
  <si>
    <t>7701383354</t>
  </si>
  <si>
    <t>770801001</t>
  </si>
  <si>
    <t>25-03-2015 00:00:00</t>
  </si>
  <si>
    <t>28048596</t>
  </si>
  <si>
    <t>ООО "ЭксТех"</t>
  </si>
  <si>
    <t>2312181469</t>
  </si>
  <si>
    <t>05-11-2011 00:00:00</t>
  </si>
  <si>
    <t>26319787</t>
  </si>
  <si>
    <t>ООО "Электротранзит"</t>
  </si>
  <si>
    <t>2311097895</t>
  </si>
  <si>
    <t>28016695</t>
  </si>
  <si>
    <t>ООО "ЭнергоЭффективность"</t>
  </si>
  <si>
    <t>7706704202</t>
  </si>
  <si>
    <t>231043001</t>
  </si>
  <si>
    <t>26319796</t>
  </si>
  <si>
    <t>ООО "Энергоальянс"</t>
  </si>
  <si>
    <t>2310122757</t>
  </si>
  <si>
    <t>28160648</t>
  </si>
  <si>
    <t>ООО "Энергосистемы"</t>
  </si>
  <si>
    <t>2309132239</t>
  </si>
  <si>
    <t>31096626</t>
  </si>
  <si>
    <t>ООО "Энергосфера"</t>
  </si>
  <si>
    <t>2312255262</t>
  </si>
  <si>
    <t>28957318</t>
  </si>
  <si>
    <t>ООО "Энерготрейд"</t>
  </si>
  <si>
    <t>2311175670</t>
  </si>
  <si>
    <t>26798015</t>
  </si>
  <si>
    <t>ООО "ЮгЭнергоРесурс"</t>
  </si>
  <si>
    <t>2312127503</t>
  </si>
  <si>
    <t>28544300</t>
  </si>
  <si>
    <t>ООО "Югстрой-Электросеть"</t>
  </si>
  <si>
    <t>2311172038</t>
  </si>
  <si>
    <t>28508834</t>
  </si>
  <si>
    <t>ООО "Югстрой-Энергосбыт"</t>
  </si>
  <si>
    <t>2311156068</t>
  </si>
  <si>
    <t>28136038</t>
  </si>
  <si>
    <t>ООО "Южная энергосбытовая компания"</t>
  </si>
  <si>
    <t>2334024237</t>
  </si>
  <si>
    <t>25-03-2013 00:00:00</t>
  </si>
  <si>
    <t>27914872</t>
  </si>
  <si>
    <t>ООО «Энергия Кубани»</t>
  </si>
  <si>
    <t>2312194813</t>
  </si>
  <si>
    <t>30813873</t>
  </si>
  <si>
    <t>ООО КЭСК</t>
  </si>
  <si>
    <t>2309135367</t>
  </si>
  <si>
    <t>30355315</t>
  </si>
  <si>
    <t>ООО"АКТОН"</t>
  </si>
  <si>
    <t>2364011796</t>
  </si>
  <si>
    <t>17-03-2015 00:00:00</t>
  </si>
  <si>
    <t>27202901</t>
  </si>
  <si>
    <t>ООО"МАйкопская ТЭЦ"</t>
  </si>
  <si>
    <t>0107019540</t>
  </si>
  <si>
    <t>01-07-2011 00:00:00</t>
  </si>
  <si>
    <t>26355119</t>
  </si>
  <si>
    <t>ПАО "Каневсксахар"</t>
  </si>
  <si>
    <t>2334005403</t>
  </si>
  <si>
    <t>26319769</t>
  </si>
  <si>
    <t>2309001660</t>
  </si>
  <si>
    <t>26530248</t>
  </si>
  <si>
    <t>ПАО "Новороссийский морской торговый порт"</t>
  </si>
  <si>
    <t>2315004404</t>
  </si>
  <si>
    <t>26318915</t>
  </si>
  <si>
    <t>ПАО "ТНС энерго Кубань"</t>
  </si>
  <si>
    <t>2308119595</t>
  </si>
  <si>
    <t>27954259</t>
  </si>
  <si>
    <t>ПАО "ФСК ЕЭС"</t>
  </si>
  <si>
    <t>4716016979</t>
  </si>
  <si>
    <t>997450001</t>
  </si>
  <si>
    <t>ФСК</t>
  </si>
  <si>
    <t>/Электроэнергетика/Передача ЭЭ/ФСК</t>
  </si>
  <si>
    <t>26322297</t>
  </si>
  <si>
    <t>Северо-Кавказский филиал ООО "Газпром энерго"</t>
  </si>
  <si>
    <t>7736186950</t>
  </si>
  <si>
    <t>263602001</t>
  </si>
  <si>
    <t>27-07-1998 00:00:00</t>
  </si>
  <si>
    <t>28829365</t>
  </si>
  <si>
    <t>ФГУП "ФТ-Центр"</t>
  </si>
  <si>
    <t>7709007859</t>
  </si>
  <si>
    <t>28797766</t>
  </si>
  <si>
    <t>Филиал ОАО "ФСК ЕЭС" Сочинское ПМЭС</t>
  </si>
  <si>
    <t>27673464</t>
  </si>
  <si>
    <t>филиал "Сочинская ТЭС" АО "Интер РАО - Электрогенерация"</t>
  </si>
  <si>
    <t>231943001</t>
  </si>
  <si>
    <t>26355122</t>
  </si>
  <si>
    <t>филиал ОАО "Кореновский" Акционерного Общества "Успенский сахарник"</t>
  </si>
  <si>
    <t>237343001</t>
  </si>
  <si>
    <t>26809129</t>
  </si>
  <si>
    <t>филиал ПАО "ОГК-2" - Адлерская ТЭС</t>
  </si>
  <si>
    <t>2607018122</t>
  </si>
  <si>
    <t>1.4.1</t>
  </si>
  <si>
    <t>4.3.1</t>
  </si>
  <si>
    <t>12.4.1</t>
  </si>
  <si>
    <t>15.3.1</t>
  </si>
  <si>
    <t>24.09.2018 13:41:01</t>
  </si>
  <si>
    <t>12.10.2018 15:10:42</t>
  </si>
  <si>
    <t>31205407</t>
  </si>
  <si>
    <t>ООО «ЭФСК»</t>
  </si>
  <si>
    <t>2310177890</t>
  </si>
  <si>
    <t>12.11.2018 09:16:16</t>
  </si>
  <si>
    <t>31209568</t>
  </si>
  <si>
    <t>ФГБУ "Юг Спорт"</t>
  </si>
  <si>
    <t>2319056379</t>
  </si>
  <si>
    <t>22-10-2018 00:00:00</t>
  </si>
  <si>
    <t>11.12.2018 09:29:16</t>
  </si>
  <si>
    <t>26794654</t>
  </si>
  <si>
    <t>1834024515</t>
  </si>
  <si>
    <t>17.01.2019 09:49:09</t>
  </si>
  <si>
    <t>ООО "Ижэнергосбыт"</t>
  </si>
  <si>
    <t>184001001</t>
  </si>
  <si>
    <t>31238649</t>
  </si>
  <si>
    <t>ООО "Сервис-Проф-Энерго"</t>
  </si>
  <si>
    <t>2308247928</t>
  </si>
  <si>
    <t>18.02.2019 11:18:53</t>
  </si>
  <si>
    <t>31241304</t>
  </si>
  <si>
    <t>ООО "Капитал Груп"</t>
  </si>
  <si>
    <t>2310173536</t>
  </si>
  <si>
    <t>27188394</t>
  </si>
  <si>
    <t>Филиал  "Северо-Кавказский"  АО "Оборонэнерго"</t>
  </si>
  <si>
    <t>263243001</t>
  </si>
  <si>
    <t>30-04-2009 00:00:00</t>
  </si>
  <si>
    <t>16.07.2019 09:19:47</t>
  </si>
  <si>
    <t>15.0</t>
  </si>
  <si>
    <t>Windows (32-bit) NT :.00</t>
  </si>
  <si>
    <t>HAS_TARIFF</t>
  </si>
  <si>
    <t>Y</t>
  </si>
  <si>
    <t>770501001</t>
  </si>
  <si>
    <t>26504840</t>
  </si>
  <si>
    <t>АО "МСК Энерго"</t>
  </si>
  <si>
    <t>5018054863</t>
  </si>
  <si>
    <t>501801001</t>
  </si>
  <si>
    <t>ООО "ЛУКОЙЛ-ЭНЕРГОСЕРВИС"</t>
  </si>
  <si>
    <t>5030040730</t>
  </si>
  <si>
    <t>31179747</t>
  </si>
  <si>
    <t>31314655</t>
  </si>
  <si>
    <t>ООО "ОРЭГ"</t>
  </si>
  <si>
    <t>2366007570</t>
  </si>
  <si>
    <t>236601001</t>
  </si>
  <si>
    <t>31278307</t>
  </si>
  <si>
    <t>ООО "Транзит-Энерго-Сбыт"</t>
  </si>
  <si>
    <t>2312271842</t>
  </si>
  <si>
    <t>31311431</t>
  </si>
  <si>
    <t>ООО "Энергопартнер"</t>
  </si>
  <si>
    <t>2310198883</t>
  </si>
  <si>
    <t>28494405</t>
  </si>
  <si>
    <t>ООО "Энергосистема"</t>
  </si>
  <si>
    <t>7715887873</t>
  </si>
  <si>
    <t>31311451</t>
  </si>
  <si>
    <t>ООО "Юг-Энергосеть"</t>
  </si>
  <si>
    <t>2304073156</t>
  </si>
  <si>
    <t>28-04-2018 00:00:00</t>
  </si>
  <si>
    <t>21.08.2019 13:55:52</t>
  </si>
  <si>
    <t>31304544</t>
  </si>
  <si>
    <t>7714974474</t>
  </si>
  <si>
    <t>19.09.2019 15:07:05</t>
  </si>
  <si>
    <t>31341806</t>
  </si>
  <si>
    <t>АО "МЭС"</t>
  </si>
  <si>
    <t>6950003956</t>
  </si>
  <si>
    <t>695001001</t>
  </si>
  <si>
    <t>31339426</t>
  </si>
  <si>
    <t>ООО "ВИЭ"</t>
  </si>
  <si>
    <t>0105077096</t>
  </si>
  <si>
    <t>08-06-2016 00:00:00</t>
  </si>
  <si>
    <t>31341666</t>
  </si>
  <si>
    <t>ООО "НЭК"</t>
  </si>
  <si>
    <t>2308259377</t>
  </si>
  <si>
    <t>21.10.2019 10:23:55</t>
  </si>
  <si>
    <t>18.11.2019 10:30:39</t>
  </si>
  <si>
    <t>18.11.2019 10:37:42</t>
  </si>
  <si>
    <t>16.12.2019 13:35:45</t>
  </si>
  <si>
    <t>31355513</t>
  </si>
  <si>
    <t>ООО "Кедр"</t>
  </si>
  <si>
    <t>2312271472</t>
  </si>
  <si>
    <t>28-01-2019 00:00:00</t>
  </si>
  <si>
    <t>31336346</t>
  </si>
  <si>
    <t>ООО "Управляющая компания "Индустриальный парк Краснодар"</t>
  </si>
  <si>
    <t>2311209369</t>
  </si>
  <si>
    <t>24-03-2016 00:00:00</t>
  </si>
  <si>
    <t>N</t>
  </si>
  <si>
    <t>14.01.2020 16:50:21</t>
  </si>
  <si>
    <t>16.01.2020 09:06:37</t>
  </si>
  <si>
    <t>17.02.2020 10:55:49</t>
  </si>
  <si>
    <t>2308101615</t>
  </si>
  <si>
    <t>31397483</t>
  </si>
  <si>
    <t>ООО "Комфорт-энергосбыт"</t>
  </si>
  <si>
    <t>2312282361</t>
  </si>
  <si>
    <t>31384018</t>
  </si>
  <si>
    <t>ООО "ТОМС"</t>
  </si>
  <si>
    <t>2352047212</t>
  </si>
  <si>
    <t>235201001</t>
  </si>
  <si>
    <t>31384007</t>
  </si>
  <si>
    <t>филиал "Краснодарское водохранилище" ФГБВУ "Центррегионводхоз"</t>
  </si>
  <si>
    <t>5008028127</t>
  </si>
  <si>
    <t>773301001</t>
  </si>
  <si>
    <t>01-07-2002 00:00:00</t>
  </si>
  <si>
    <t>19.02.2020 15:25:13</t>
  </si>
  <si>
    <t>Windows (32-bit) NT 6.02</t>
  </si>
  <si>
    <t>19.02.2020 16:14:44</t>
  </si>
  <si>
    <t>16.03.2020 11:17:17</t>
  </si>
  <si>
    <t>31311960</t>
  </si>
  <si>
    <t>ОБЩЕСТВО С ОГРАНИЧЕННОЙ ОТВЕТСТВЕННОСТЬЮ "ХЕВЕЛ РЕГИОНАЛЬНАЯ ГЕНЕРАЦИЯ"</t>
  </si>
  <si>
    <t>0248008020</t>
  </si>
  <si>
    <t>027801001</t>
  </si>
  <si>
    <t>21-05-2019 00:00:00</t>
  </si>
  <si>
    <t>24.03.2020 11:35:07</t>
  </si>
  <si>
    <t>24.03.2020 16:04:45</t>
  </si>
  <si>
    <t>20.04.2020 12:30:07</t>
  </si>
  <si>
    <t>31412187</t>
  </si>
  <si>
    <t>2302008722</t>
  </si>
  <si>
    <t>28817820</t>
  </si>
  <si>
    <t>ООО "КЭСК"</t>
  </si>
  <si>
    <t>20.04.2020 14:08:34</t>
  </si>
  <si>
    <t>20.04.2020 14:47:54</t>
  </si>
  <si>
    <t>18.05.2020 11:00:55</t>
  </si>
  <si>
    <t>31417377</t>
  </si>
  <si>
    <t>ООО "КНГК-Энерго"</t>
  </si>
  <si>
    <t>2311161607</t>
  </si>
  <si>
    <t>19.05.2020 08:11:00</t>
  </si>
  <si>
    <t>19.05.2020 09:22:20</t>
  </si>
  <si>
    <t>16.07.2020 08:43:45</t>
  </si>
  <si>
    <t>28494201</t>
  </si>
  <si>
    <t>ООО "РУСЭНЕРГО"</t>
  </si>
  <si>
    <t>4401144416</t>
  </si>
  <si>
    <t>31423705</t>
  </si>
  <si>
    <t>ООО "Сеть Энерджи"</t>
  </si>
  <si>
    <t>2312288010</t>
  </si>
  <si>
    <t>13-11-2009 00:00:00</t>
  </si>
  <si>
    <t>31238657</t>
  </si>
  <si>
    <t>ООО "Фул-Энерджи"</t>
  </si>
  <si>
    <t>2312271803</t>
  </si>
  <si>
    <t>16.07.2020 11:08:22</t>
  </si>
  <si>
    <t>16.07.2020 11:09:06</t>
  </si>
  <si>
    <t>16.07.2020 15:48:22</t>
  </si>
  <si>
    <t>13.08.2020 10:55:35</t>
  </si>
  <si>
    <t>14.09.2020 11:39:46</t>
  </si>
  <si>
    <t>31437185</t>
  </si>
  <si>
    <t>ООО "КРАЙЭНЕРГОСБЫТ"</t>
  </si>
  <si>
    <t>2312279714</t>
  </si>
  <si>
    <t>14.09.2020 11:51:15</t>
  </si>
  <si>
    <t>12.10.2020 14:26:22</t>
  </si>
  <si>
    <t>31443094</t>
  </si>
  <si>
    <t>ООО "АЭР"</t>
  </si>
  <si>
    <t>2312235650</t>
  </si>
  <si>
    <t>19-06-2020 00:00:00</t>
  </si>
  <si>
    <t>12.11.2020 12:23:31</t>
  </si>
  <si>
    <t>27855290</t>
  </si>
  <si>
    <t>ООО "Инженерные изыскания"</t>
  </si>
  <si>
    <t>1103029229</t>
  </si>
  <si>
    <t>352801001</t>
  </si>
  <si>
    <t>14-01-2004 00:00:00</t>
  </si>
  <si>
    <t>14.12.2020 13:16:49</t>
  </si>
  <si>
    <t>31456178</t>
  </si>
  <si>
    <t>ООО "КубаньСеть"</t>
  </si>
  <si>
    <t>2311305305</t>
  </si>
  <si>
    <t>08-05-2020 00:00:00</t>
  </si>
  <si>
    <t>28489852</t>
  </si>
  <si>
    <t>ООО "Энергия"</t>
  </si>
  <si>
    <t>7702769819</t>
  </si>
  <si>
    <t>29-08-2011 00:00:00</t>
  </si>
  <si>
    <t>31455451</t>
  </si>
  <si>
    <t>ООО УК "Домус"</t>
  </si>
  <si>
    <t>2311308063</t>
  </si>
  <si>
    <t>03-12-2020 00:00:00</t>
  </si>
  <si>
    <t>ПАО "Россети Кубань"</t>
  </si>
  <si>
    <t>19.01.2021 10:00:18</t>
  </si>
  <si>
    <t>31457319</t>
  </si>
  <si>
    <t>ООО "АЭМЗ-ЭНЕРГО"</t>
  </si>
  <si>
    <t>2376002210</t>
  </si>
  <si>
    <t>237601001</t>
  </si>
  <si>
    <t>15.02.2021 13:59:43</t>
  </si>
  <si>
    <t>233801001</t>
  </si>
  <si>
    <t>31468716</t>
  </si>
  <si>
    <t>ООО "Кубань Солар"</t>
  </si>
  <si>
    <t>2360012767</t>
  </si>
  <si>
    <t>16.03.2021 11:05:33</t>
  </si>
  <si>
    <t>16.04.2021 10:30:55</t>
  </si>
  <si>
    <t>АО "Транссервисэнерго"</t>
  </si>
  <si>
    <t>31481341</t>
  </si>
  <si>
    <t>ООО "КСК"</t>
  </si>
  <si>
    <t>2363000544</t>
  </si>
  <si>
    <t>236301001</t>
  </si>
  <si>
    <t>31468814</t>
  </si>
  <si>
    <t>ООО "СберЭнерго"</t>
  </si>
  <si>
    <t>7730258012</t>
  </si>
  <si>
    <t>31480703</t>
  </si>
  <si>
    <t>ООО "ЭлектроСеть"</t>
  </si>
  <si>
    <t>2315211802</t>
  </si>
  <si>
    <t>29.04.2021 08:31:21</t>
  </si>
  <si>
    <t>1.4.2</t>
  </si>
  <si>
    <t>12.4.2</t>
  </si>
  <si>
    <t>17.05.2021 10:58:37</t>
  </si>
  <si>
    <t>10.09.2021 14:12:00</t>
  </si>
  <si>
    <t>31507543</t>
  </si>
  <si>
    <t>7725828549</t>
  </si>
  <si>
    <t>775050001</t>
  </si>
  <si>
    <t>31506668</t>
  </si>
  <si>
    <t>АО "ИННОВАТТ"</t>
  </si>
  <si>
    <t>7726477798</t>
  </si>
  <si>
    <t>772601001</t>
  </si>
  <si>
    <t>26318908</t>
  </si>
  <si>
    <t>АО "ЭК Эталон"</t>
  </si>
  <si>
    <t>0716002859</t>
  </si>
  <si>
    <t>071601001</t>
  </si>
  <si>
    <t>30990775</t>
  </si>
  <si>
    <t>2310031475</t>
  </si>
  <si>
    <t>31513789</t>
  </si>
  <si>
    <t>ОАО "АПФ "Фанагория"</t>
  </si>
  <si>
    <t>2352002170</t>
  </si>
  <si>
    <t>31513596</t>
  </si>
  <si>
    <t>ООО "АЭМЗ"</t>
  </si>
  <si>
    <t>2323025302</t>
  </si>
  <si>
    <t>232301001</t>
  </si>
  <si>
    <t>26473809</t>
  </si>
  <si>
    <t>ООО "Газпром трансгаз Краснодар"</t>
  </si>
  <si>
    <t>2308128945</t>
  </si>
  <si>
    <t>31313110</t>
  </si>
  <si>
    <t>ООО "РН-Краснодарнефтегаз"</t>
  </si>
  <si>
    <t>2309095298</t>
  </si>
  <si>
    <t>09-11-2005 00:00:00</t>
  </si>
  <si>
    <t>31513613</t>
  </si>
  <si>
    <t>ООО "СЫРЫ КУБАНИ"</t>
  </si>
  <si>
    <t>2362000870</t>
  </si>
  <si>
    <t>31500545</t>
  </si>
  <si>
    <t>Общество с ограниченной ответственностью КАВКАЗ</t>
  </si>
  <si>
    <t>2338012232</t>
  </si>
  <si>
    <t>11.10.2021 16:04:16</t>
  </si>
  <si>
    <t>АО "Тандер"</t>
  </si>
  <si>
    <t>12.10.2021 09:01:16</t>
  </si>
  <si>
    <t>12.10.2021 09:30:59</t>
  </si>
  <si>
    <t>12.10.2021 10:06:17</t>
  </si>
  <si>
    <t>12.10.2021 10:23:01</t>
  </si>
  <si>
    <t>12.11.2021 10:26:25</t>
  </si>
  <si>
    <t>АО "Атомэнергопромсбыт"</t>
  </si>
  <si>
    <t>14.12.2021 09:35:43</t>
  </si>
  <si>
    <t>АО "Компания Импульс "</t>
  </si>
  <si>
    <t>17.12.2021 14:07:08</t>
  </si>
  <si>
    <t>14.01.2022 15:26:37</t>
  </si>
  <si>
    <t>31535899</t>
  </si>
  <si>
    <t>ООО "ИМПУЛЬС"</t>
  </si>
  <si>
    <t>2363001805</t>
  </si>
  <si>
    <t>31535895</t>
  </si>
  <si>
    <t>ООО "Крайэнерго"</t>
  </si>
  <si>
    <t>2312294991</t>
  </si>
  <si>
    <t>18.01.2022 09:51:13</t>
  </si>
  <si>
    <t>18.01.2022 09:52:26</t>
  </si>
  <si>
    <t>15.02.2022 14:29:03</t>
  </si>
  <si>
    <t>ООО "Черкизово ТЭК"</t>
  </si>
  <si>
    <t>26355009</t>
  </si>
  <si>
    <t>ООО ККП "Геленджиккурорт"</t>
  </si>
  <si>
    <t>2304034654</t>
  </si>
  <si>
    <t>06.07.2022 08:55:01</t>
  </si>
  <si>
    <t>Кривнева Е.В.</t>
  </si>
  <si>
    <t>04.08.2022 09:12:52</t>
  </si>
  <si>
    <t>1.4.3</t>
  </si>
  <si>
    <t>12.4.3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</si>
  <si>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</si>
  <si>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</si>
  <si>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</si>
  <si>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</si>
  <si>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</si>
  <si>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</si>
  <si>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</si>
  <si>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</si>
  <si>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</si>
  <si>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</si>
  <si>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</si>
  <si>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</si>
  <si>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</si>
  <si>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Потребители</t>
  </si>
  <si>
    <t>Единица измерения</t>
  </si>
  <si>
    <t>I. Электроэнергия</t>
  </si>
  <si>
    <t>тыс.кВт*ч</t>
  </si>
  <si>
    <t>STATIC</t>
  </si>
  <si>
    <t>0</t>
  </si>
  <si>
    <t>INSERT.ENR.INCOME.GEN</t>
  </si>
  <si>
    <t>INSERT.ENR.INCOME.NON.NET</t>
  </si>
  <si>
    <t>×</t>
  </si>
  <si>
    <t>1022301427268</t>
  </si>
  <si>
    <t>RST_ORG</t>
  </si>
  <si>
    <t>DYNAMIC.ENR.INCOME.ADJACENT.NET</t>
  </si>
  <si>
    <t>1072308013821</t>
  </si>
  <si>
    <t>1112312001141</t>
  </si>
  <si>
    <t>INSERT.ENR.INCOME.ADJACENT.NET</t>
  </si>
  <si>
    <t>прямым прочим потребителям по договорам оказания услуг по передаче электрической энергии</t>
  </si>
  <si>
    <t>из них потребителям, опосредованно подключённым к шинам генераторов</t>
  </si>
  <si>
    <t>потребителям, опосредованно подключённым к шинам генераторов</t>
  </si>
  <si>
    <t>DYNAMIC.ENR.OUTCOME.ADJACENT.NET</t>
  </si>
  <si>
    <t>INSERT.ENR.OUTCOME.ADJACENT.NET</t>
  </si>
  <si>
    <t>население и приравненные к ним группы</t>
  </si>
  <si>
    <t>Общий объём потерь (фактические объёмы), в том числе:</t>
  </si>
  <si>
    <t>Нормативные потери (объёмы потерь, учтённые в сводном прогнозном балансе)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</si>
  <si>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</si>
  <si>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II. Мощность</t>
  </si>
  <si>
    <t>МВт</t>
  </si>
  <si>
    <t>INSERT.PWR.INCOME.GEN</t>
  </si>
  <si>
    <t>INSERT.PWR.INCOME.NON.NET</t>
  </si>
  <si>
    <t>DYNAMIC.PWR.INCOME.ADJACENT.NET</t>
  </si>
  <si>
    <t>INSERT.PWR.INCOME.ADJACENT.NET</t>
  </si>
  <si>
    <t>DYNAMIC.PWR.OUTCOME.ADJACENT.NET</t>
  </si>
  <si>
    <t>INSERT.PWR.OUTCOME.ADJACENT.NET</t>
  </si>
  <si>
    <t>III. Мощность</t>
  </si>
  <si>
    <t>IV. Фактический полезный отпуск конечным потребителям</t>
  </si>
  <si>
    <t>Полезный отпуск конечным потребителям:</t>
  </si>
  <si>
    <t>опосредованно подключённым к шинам генераторов</t>
  </si>
  <si>
    <t>Полезный отпуск потребителям ГП, ЭСО:</t>
  </si>
  <si>
    <t>Оплачиваемый сетевыми организациями объём оказанных услуг по индивидуальному тарифу:</t>
  </si>
  <si>
    <t>V. Стоимость услуг</t>
  </si>
  <si>
    <t>тыс.руб.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</si>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</sst>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_-* #,##0.00[$€-1]_-;\-* #,##0.00[$€-1]_-;_-* &quot;-&quot;??[$€-1]_-"/>
    <numFmt numFmtId="166" formatCode="#,##0.0000"/>
    <numFmt numFmtId="167" formatCode="#,##0.0"/>
    <numFmt numFmtId="168" formatCode="#,##0.000"/>
  </numFmts>
  <fonts count="63"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 Cyr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0"/>
      <color indexed="55"/>
      <name val="Wingdings 2"/>
      <family val="1"/>
      <charset val="2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6"/>
      <color indexed="63"/>
      <name val="Tahoma"/>
      <family val="2"/>
      <charset val="204"/>
    </font>
    <font>
      <sz val="9"/>
      <color indexed="23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9"/>
      <color theme="11"/>
      <name val="Tahoma"/>
      <family val="2"/>
      <charset val="204"/>
    </font>
    <font>
      <sz val="10"/>
      <name val="Arial"/>
      <family val="2"/>
      <charset val="204"/>
    </font>
    <font>
      <sz val="9"/>
      <color theme="0"/>
      <name val="Tahoma"/>
      <family val="2"/>
      <charset val="204"/>
    </font>
    <font>
      <sz val="11"/>
      <color indexed="22"/>
      <name val="Wingdings 2"/>
      <family val="1"/>
      <charset val="2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theme="0"/>
      <name val="Tahoma"/>
    </font>
    <font>
      <sz val="8"/>
      <color rgb="FF000080"/>
      <name val="Tahoma"/>
    </font>
    <font>
      <b/>
      <sz val="10"/>
      <color rgb="FFBCBCBC"/>
      <name val="Calibri"/>
    </font>
  </fonts>
  <fills count="5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Down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D7EAD3"/>
      </patternFill>
    </fill>
    <fill>
      <patternFill patternType="solid">
        <fgColor theme="0"/>
      </patternFill>
    </fill>
    <fill>
      <patternFill patternType="solid">
        <fgColor rgb="FFFFFFC0"/>
      </patternFill>
    </fill>
    <fill>
      <patternFill patternType="solid">
        <fgColor rgb="FFFFFFFF"/>
      </patternFill>
    </fill>
    <fill>
      <patternFill patternType="solid">
        <fgColor rgb="FFD3DBDB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/>
      <bottom style="thin">
        <color rgb="FFD9D9D9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/>
      <diagonal/>
    </border>
  </borders>
  <cellStyleXfs count="99">
    <xf numFmtId="0" fontId="0" fillId="0" borderId="0">
      <alignment horizontal="left" vertical="center"/>
    </xf>
    <xf numFmtId="0" fontId="10" fillId="0" borderId="0"/>
    <xf numFmtId="165" fontId="10" fillId="0" borderId="0"/>
    <xf numFmtId="0" fontId="12" fillId="0" borderId="0"/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0" fontId="20" fillId="0" borderId="1" applyNumberFormat="0" applyAlignment="0">
      <protection locked="0"/>
    </xf>
    <xf numFmtId="164" fontId="13" fillId="0" borderId="0" applyFont="0" applyFill="0" applyBorder="0" applyAlignment="0" applyProtection="0"/>
    <xf numFmtId="167" fontId="2" fillId="2" borderId="0">
      <protection locked="0"/>
    </xf>
    <xf numFmtId="0" fontId="14" fillId="0" borderId="0" applyFill="0" applyBorder="0" applyProtection="0">
      <alignment vertical="center"/>
    </xf>
    <xf numFmtId="168" fontId="2" fillId="2" borderId="0">
      <protection locked="0"/>
    </xf>
    <xf numFmtId="166" fontId="2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3" fillId="4" borderId="2" applyNumberFormat="0">
      <alignment horizontal="center" vertical="center"/>
    </xf>
    <xf numFmtId="0" fontId="7" fillId="5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3" fillId="0" borderId="3" applyBorder="0">
      <alignment horizontal="center" vertical="center" wrapText="1"/>
    </xf>
    <xf numFmtId="49" fontId="2" fillId="0" borderId="0" applyBorder="0">
      <alignment vertical="top"/>
    </xf>
    <xf numFmtId="0" fontId="36" fillId="0" borderId="0"/>
    <xf numFmtId="0" fontId="36" fillId="0" borderId="0"/>
    <xf numFmtId="0" fontId="2" fillId="0" borderId="0">
      <alignment horizontal="left" vertical="center"/>
    </xf>
    <xf numFmtId="0" fontId="21" fillId="6" borderId="0" applyNumberFormat="0" applyBorder="0" applyAlignment="0">
      <alignment horizontal="left" vertical="center"/>
    </xf>
    <xf numFmtId="49" fontId="2" fillId="6" borderId="0" applyBorder="0">
      <alignment vertical="top"/>
    </xf>
    <xf numFmtId="49" fontId="2" fillId="0" borderId="0" applyBorder="0">
      <alignment vertical="top"/>
    </xf>
    <xf numFmtId="0" fontId="11" fillId="0" borderId="0"/>
    <xf numFmtId="49" fontId="2" fillId="0" borderId="0" applyBorder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38" fillId="0" borderId="0" applyNumberFormat="0" applyFill="0" applyBorder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1" fillId="0" borderId="15" applyNumberFormat="0" applyFill="0" applyAlignment="0" applyProtection="0"/>
    <xf numFmtId="0" fontId="41" fillId="0" borderId="0" applyNumberFormat="0" applyFill="0" applyBorder="0" applyAlignment="0" applyProtection="0"/>
    <xf numFmtId="0" fontId="42" fillId="11" borderId="0" applyNumberFormat="0" applyBorder="0" applyAlignment="0" applyProtection="0"/>
    <xf numFmtId="0" fontId="43" fillId="12" borderId="0" applyNumberFormat="0" applyBorder="0" applyAlignment="0" applyProtection="0"/>
    <xf numFmtId="0" fontId="44" fillId="13" borderId="0" applyNumberFormat="0" applyBorder="0" applyAlignment="0" applyProtection="0"/>
    <xf numFmtId="0" fontId="45" fillId="14" borderId="16" applyNumberFormat="0" applyAlignment="0" applyProtection="0"/>
    <xf numFmtId="0" fontId="46" fillId="14" borderId="17" applyNumberFormat="0" applyAlignment="0" applyProtection="0"/>
    <xf numFmtId="0" fontId="47" fillId="0" borderId="18" applyNumberFormat="0" applyFill="0" applyAlignment="0" applyProtection="0"/>
    <xf numFmtId="0" fontId="48" fillId="15" borderId="19" applyNumberFormat="0" applyAlignment="0" applyProtection="0"/>
    <xf numFmtId="0" fontId="49" fillId="0" borderId="0" applyNumberFormat="0" applyFill="0" applyBorder="0" applyAlignment="0" applyProtection="0"/>
    <xf numFmtId="0" fontId="2" fillId="16" borderId="20" applyNumberFormat="0" applyFont="0" applyAlignment="0" applyProtection="0"/>
    <xf numFmtId="0" fontId="50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52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52" fillId="40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3" fillId="0" borderId="0" applyNumberFormat="0" applyFill="0" applyBorder="0" applyAlignment="0" applyProtection="0">
      <alignment horizontal="left" vertical="center"/>
    </xf>
    <xf numFmtId="0" fontId="54" fillId="0" borderId="0"/>
  </cellStyleXfs>
  <cellXfs count="230">
    <xf numFmtId="0" fontId="0" fillId="0" borderId="0" xfId="0">
      <alignment horizontal="left" vertical="center"/>
    </xf>
    <xf numFmtId="49" fontId="0" fillId="0" borderId="0" xfId="0" applyNumberFormat="1">
      <alignment horizontal="left" vertical="center"/>
    </xf>
    <xf numFmtId="0" fontId="36" fillId="8" borderId="0" xfId="38" applyFill="1" applyProtection="1"/>
    <xf numFmtId="0" fontId="36" fillId="0" borderId="0" xfId="38"/>
    <xf numFmtId="0" fontId="36" fillId="0" borderId="0" xfId="39" applyProtection="1"/>
    <xf numFmtId="49" fontId="2" fillId="0" borderId="0" xfId="37">
      <alignment vertical="top"/>
    </xf>
    <xf numFmtId="0" fontId="28" fillId="0" borderId="0" xfId="0" applyFont="1" applyAlignment="1"/>
    <xf numFmtId="0" fontId="0" fillId="0" borderId="0" xfId="0" applyAlignment="1"/>
    <xf numFmtId="49" fontId="2" fillId="0" borderId="0" xfId="46" applyNumberFormat="1" applyFont="1" applyAlignment="1" applyProtection="1">
      <alignment vertical="center"/>
    </xf>
    <xf numFmtId="0" fontId="29" fillId="0" borderId="0" xfId="0" applyFont="1" applyAlignment="1">
      <alignment horizontal="justify"/>
    </xf>
    <xf numFmtId="0" fontId="30" fillId="0" borderId="0" xfId="0" applyFont="1" applyAlignment="1">
      <alignment horizontal="justify"/>
    </xf>
    <xf numFmtId="0" fontId="3" fillId="0" borderId="0" xfId="0" applyFont="1" applyAlignment="1">
      <alignment horizontal="left" vertical="center"/>
    </xf>
    <xf numFmtId="0" fontId="28" fillId="0" borderId="0" xfId="38" applyFont="1" applyAlignment="1">
      <alignment vertical="center"/>
    </xf>
    <xf numFmtId="0" fontId="31" fillId="0" borderId="0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right" vertical="center" wrapText="1" indent="1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left" vertical="center" wrapText="1" indent="1"/>
    </xf>
    <xf numFmtId="0" fontId="31" fillId="0" borderId="0" xfId="0" applyFont="1" applyAlignment="1" applyProtection="1">
      <alignment vertical="center" wrapText="1"/>
    </xf>
    <xf numFmtId="0" fontId="31" fillId="0" borderId="0" xfId="0" applyFont="1" applyBorder="1" applyAlignment="1" applyProtection="1">
      <alignment horizontal="left" vertical="center" wrapText="1"/>
    </xf>
    <xf numFmtId="0" fontId="33" fillId="0" borderId="0" xfId="0" applyFont="1" applyAlignment="1" applyProtection="1">
      <alignment vertical="center" wrapText="1"/>
    </xf>
    <xf numFmtId="0" fontId="31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right" vertical="center" wrapText="1" indent="1"/>
    </xf>
    <xf numFmtId="0" fontId="31" fillId="0" borderId="0" xfId="0" applyFont="1" applyAlignment="1" applyProtection="1">
      <alignment horizontal="left" vertical="center" wrapText="1" indent="1"/>
    </xf>
    <xf numFmtId="49" fontId="2" fillId="0" borderId="0" xfId="46" applyNumberFormat="1" applyFont="1" applyFill="1" applyAlignment="1" applyProtection="1">
      <alignment vertical="center"/>
    </xf>
    <xf numFmtId="0" fontId="31" fillId="0" borderId="0" xfId="48" applyFont="1" applyFill="1" applyBorder="1" applyAlignment="1" applyProtection="1">
      <alignment vertical="center"/>
    </xf>
    <xf numFmtId="0" fontId="34" fillId="0" borderId="0" xfId="48" applyFont="1" applyBorder="1" applyAlignment="1" applyProtection="1">
      <alignment horizontal="center" vertical="center" wrapText="1"/>
    </xf>
    <xf numFmtId="0" fontId="31" fillId="0" borderId="0" xfId="48" applyFont="1" applyAlignment="1" applyProtection="1">
      <alignment vertical="center"/>
    </xf>
    <xf numFmtId="0" fontId="32" fillId="0" borderId="0" xfId="48" applyFont="1" applyAlignment="1" applyProtection="1">
      <alignment horizontal="center" vertical="center"/>
    </xf>
    <xf numFmtId="0" fontId="31" fillId="0" borderId="4" xfId="0" applyFont="1" applyBorder="1" applyAlignment="1" applyProtection="1">
      <alignment horizontal="right" vertical="center" wrapText="1" indent="1"/>
    </xf>
    <xf numFmtId="0" fontId="31" fillId="0" borderId="4" xfId="0" applyFont="1" applyBorder="1" applyAlignment="1" applyProtection="1">
      <alignment horizontal="center" vertical="center" wrapText="1"/>
    </xf>
    <xf numFmtId="0" fontId="31" fillId="0" borderId="4" xfId="0" applyFont="1" applyBorder="1" applyAlignment="1" applyProtection="1">
      <alignment horizontal="left" vertical="center" wrapText="1" indent="1"/>
    </xf>
    <xf numFmtId="0" fontId="2" fillId="0" borderId="0" xfId="44" applyFont="1" applyProtection="1"/>
    <xf numFmtId="0" fontId="25" fillId="9" borderId="0" xfId="44" applyFont="1" applyFill="1" applyBorder="1" applyAlignment="1" applyProtection="1">
      <alignment horizontal="center" vertical="center"/>
    </xf>
    <xf numFmtId="0" fontId="32" fillId="0" borderId="0" xfId="48" applyFont="1" applyFill="1" applyBorder="1" applyAlignment="1" applyProtection="1">
      <alignment horizontal="center" vertical="center"/>
    </xf>
    <xf numFmtId="0" fontId="31" fillId="0" borderId="0" xfId="48" applyFont="1" applyBorder="1" applyAlignment="1" applyProtection="1">
      <alignment vertical="center"/>
    </xf>
    <xf numFmtId="0" fontId="31" fillId="0" borderId="0" xfId="48" applyNumberFormat="1" applyFont="1" applyAlignment="1" applyProtection="1">
      <alignment vertical="center"/>
    </xf>
    <xf numFmtId="0" fontId="31" fillId="0" borderId="0" xfId="47" applyFont="1" applyAlignment="1" applyProtection="1">
      <alignment vertical="center"/>
    </xf>
    <xf numFmtId="49" fontId="31" fillId="0" borderId="0" xfId="48" applyNumberFormat="1" applyFont="1" applyAlignment="1" applyProtection="1">
      <alignment vertical="center"/>
    </xf>
    <xf numFmtId="0" fontId="32" fillId="0" borderId="0" xfId="48" applyFont="1" applyBorder="1" applyAlignment="1" applyProtection="1">
      <alignment horizontal="right" vertical="center"/>
    </xf>
    <xf numFmtId="49" fontId="31" fillId="0" borderId="0" xfId="37" applyFont="1" applyAlignment="1" applyProtection="1">
      <alignment vertical="center"/>
    </xf>
    <xf numFmtId="0" fontId="31" fillId="0" borderId="0" xfId="48" applyFont="1" applyFill="1" applyBorder="1" applyAlignment="1" applyProtection="1">
      <alignment horizontal="center" vertical="center" wrapText="1"/>
    </xf>
    <xf numFmtId="49" fontId="2" fillId="0" borderId="0" xfId="37" applyProtection="1">
      <alignment vertical="top"/>
    </xf>
    <xf numFmtId="0" fontId="31" fillId="0" borderId="7" xfId="48" applyFont="1" applyBorder="1" applyAlignment="1" applyProtection="1">
      <alignment vertical="center"/>
    </xf>
    <xf numFmtId="0" fontId="31" fillId="0" borderId="8" xfId="48" applyFont="1" applyBorder="1" applyAlignment="1" applyProtection="1">
      <alignment vertical="center"/>
    </xf>
    <xf numFmtId="49" fontId="31" fillId="0" borderId="0" xfId="37" applyFont="1" applyBorder="1" applyAlignment="1" applyProtection="1">
      <alignment vertical="center"/>
    </xf>
    <xf numFmtId="49" fontId="31" fillId="0" borderId="8" xfId="37" applyFont="1" applyBorder="1" applyAlignment="1" applyProtection="1">
      <alignment vertical="center"/>
    </xf>
    <xf numFmtId="49" fontId="31" fillId="0" borderId="9" xfId="37" applyFont="1" applyBorder="1" applyAlignment="1">
      <alignment horizontal="center" vertical="center" wrapText="1"/>
    </xf>
    <xf numFmtId="0" fontId="31" fillId="0" borderId="8" xfId="48" applyFont="1" applyFill="1" applyBorder="1" applyAlignment="1" applyProtection="1">
      <alignment vertical="center"/>
    </xf>
    <xf numFmtId="0" fontId="31" fillId="0" borderId="7" xfId="48" applyFont="1" applyFill="1" applyBorder="1" applyAlignment="1" applyProtection="1">
      <alignment horizontal="center" vertical="center" wrapText="1"/>
    </xf>
    <xf numFmtId="0" fontId="36" fillId="0" borderId="0" xfId="38" applyBorder="1"/>
    <xf numFmtId="0" fontId="31" fillId="9" borderId="10" xfId="44" applyFont="1" applyFill="1" applyBorder="1" applyAlignment="1" applyProtection="1">
      <alignment horizontal="center" vertical="center"/>
    </xf>
    <xf numFmtId="49" fontId="2" fillId="0" borderId="0" xfId="37" applyFont="1" applyProtection="1">
      <alignment vertical="top"/>
    </xf>
    <xf numFmtId="0" fontId="20" fillId="0" borderId="0" xfId="48" applyFont="1" applyProtection="1"/>
    <xf numFmtId="0" fontId="20" fillId="0" borderId="0" xfId="48" applyFont="1" applyBorder="1" applyAlignment="1" applyProtection="1">
      <alignment horizontal="center" vertical="center"/>
    </xf>
    <xf numFmtId="0" fontId="20" fillId="0" borderId="0" xfId="48" applyFont="1" applyBorder="1" applyProtection="1"/>
    <xf numFmtId="0" fontId="20" fillId="0" borderId="11" xfId="48" applyFont="1" applyBorder="1" applyProtection="1"/>
    <xf numFmtId="0" fontId="20" fillId="0" borderId="0" xfId="48" applyFont="1" applyAlignment="1" applyProtection="1">
      <alignment horizontal="left" vertical="center"/>
    </xf>
    <xf numFmtId="0" fontId="20" fillId="0" borderId="0" xfId="48" applyFont="1" applyAlignment="1" applyProtection="1">
      <alignment vertical="center"/>
    </xf>
    <xf numFmtId="0" fontId="3" fillId="0" borderId="0" xfId="0" applyFont="1">
      <alignment horizontal="left" vertical="center"/>
    </xf>
    <xf numFmtId="49" fontId="2" fillId="0" borderId="0" xfId="43" applyNumberFormat="1" applyFont="1" applyProtection="1">
      <alignment vertical="top"/>
    </xf>
    <xf numFmtId="49" fontId="2" fillId="0" borderId="0" xfId="45">
      <alignment vertical="top"/>
    </xf>
    <xf numFmtId="49" fontId="31" fillId="2" borderId="5" xfId="44" applyNumberFormat="1" applyFont="1" applyFill="1" applyBorder="1" applyAlignment="1" applyProtection="1">
      <alignment horizontal="left" vertical="center" wrapText="1"/>
      <protection locked="0"/>
    </xf>
    <xf numFmtId="0" fontId="2" fillId="0" borderId="0" xfId="40">
      <alignment horizontal="left" vertical="center"/>
    </xf>
    <xf numFmtId="0" fontId="0" fillId="0" borderId="0" xfId="0">
      <alignment horizontal="left" vertical="center"/>
    </xf>
    <xf numFmtId="0" fontId="0" fillId="0" borderId="0" xfId="0">
      <alignment horizontal="left" vertical="center"/>
    </xf>
    <xf numFmtId="0" fontId="3" fillId="0" borderId="0" xfId="0" applyFont="1" applyAlignment="1"/>
    <xf numFmtId="49" fontId="31" fillId="0" borderId="9" xfId="37" applyFont="1" applyBorder="1" applyAlignment="1">
      <alignment horizontal="left" vertical="center" wrapText="1" indent="1"/>
    </xf>
    <xf numFmtId="49" fontId="26" fillId="0" borderId="9" xfId="37" applyFont="1" applyBorder="1" applyAlignment="1">
      <alignment horizontal="left" vertical="center" wrapText="1" indent="1"/>
    </xf>
    <xf numFmtId="49" fontId="26" fillId="0" borderId="9" xfId="37" applyFont="1" applyBorder="1" applyAlignment="1">
      <alignment horizontal="center" vertical="center" wrapText="1"/>
    </xf>
    <xf numFmtId="49" fontId="26" fillId="0" borderId="9" xfId="37" applyFont="1" applyBorder="1" applyAlignment="1">
      <alignment horizontal="left" vertical="center" wrapText="1" indent="2"/>
    </xf>
    <xf numFmtId="166" fontId="31" fillId="0" borderId="9" xfId="37" applyNumberFormat="1" applyFont="1" applyFill="1" applyBorder="1" applyAlignment="1" applyProtection="1">
      <alignment horizontal="right" vertical="center"/>
    </xf>
    <xf numFmtId="49" fontId="26" fillId="0" borderId="9" xfId="37" applyFont="1" applyBorder="1" applyAlignment="1">
      <alignment horizontal="left" vertical="center" wrapText="1" indent="3"/>
    </xf>
    <xf numFmtId="49" fontId="26" fillId="0" borderId="9" xfId="37" applyFont="1" applyBorder="1" applyAlignment="1">
      <alignment horizontal="left" vertical="center" wrapText="1" indent="4"/>
    </xf>
    <xf numFmtId="0" fontId="24" fillId="41" borderId="22" xfId="0" applyFont="1" applyFill="1" applyBorder="1" applyAlignment="1" applyProtection="1">
      <alignment horizontal="center" vertical="top"/>
    </xf>
    <xf numFmtId="0" fontId="24" fillId="41" borderId="23" xfId="0" applyFont="1" applyFill="1" applyBorder="1" applyAlignment="1" applyProtection="1">
      <alignment horizontal="center" vertical="top"/>
    </xf>
    <xf numFmtId="166" fontId="31" fillId="0" borderId="7" xfId="37" applyNumberFormat="1" applyFont="1" applyFill="1" applyBorder="1" applyAlignment="1" applyProtection="1">
      <alignment horizontal="right" vertical="center"/>
    </xf>
    <xf numFmtId="0" fontId="24" fillId="41" borderId="10" xfId="0" applyFont="1" applyFill="1" applyBorder="1" applyAlignment="1" applyProtection="1">
      <alignment horizontal="center" vertical="top"/>
    </xf>
    <xf numFmtId="0" fontId="1" fillId="8" borderId="0" xfId="38" applyFont="1" applyFill="1" applyProtection="1"/>
    <xf numFmtId="0" fontId="31" fillId="0" borderId="0" xfId="48" applyFont="1" applyAlignment="1" applyProtection="1">
      <alignment horizontal="left" vertical="center" indent="1"/>
    </xf>
    <xf numFmtId="0" fontId="26" fillId="0" borderId="10" xfId="37" applyNumberFormat="1" applyFont="1" applyBorder="1" applyAlignment="1">
      <alignment horizontal="center" vertical="center" wrapText="1"/>
    </xf>
    <xf numFmtId="0" fontId="54" fillId="0" borderId="0" xfId="98"/>
    <xf numFmtId="49" fontId="54" fillId="0" borderId="0" xfId="98" applyNumberFormat="1"/>
    <xf numFmtId="0" fontId="0" fillId="10" borderId="5" xfId="46" applyNumberFormat="1" applyFont="1" applyFill="1" applyBorder="1" applyAlignment="1" applyProtection="1">
      <alignment horizontal="left" vertical="center" wrapText="1" indent="2"/>
    </xf>
    <xf numFmtId="0" fontId="3" fillId="0" borderId="0" xfId="0" applyFont="1" applyFill="1" applyBorder="1" applyAlignment="1" applyProtection="1">
      <alignment horizontal="left" vertical="center"/>
    </xf>
    <xf numFmtId="49" fontId="55" fillId="0" borderId="7" xfId="37" applyFont="1" applyFill="1" applyBorder="1" applyAlignment="1" applyProtection="1">
      <alignment horizontal="center" vertical="center" wrapText="1"/>
    </xf>
    <xf numFmtId="49" fontId="37" fillId="0" borderId="0" xfId="48" applyNumberFormat="1" applyFont="1" applyAlignment="1" applyProtection="1">
      <alignment vertical="center"/>
    </xf>
    <xf numFmtId="49" fontId="55" fillId="0" borderId="0" xfId="37" applyNumberFormat="1" applyFont="1" applyAlignment="1" applyProtection="1">
      <alignment vertical="center"/>
    </xf>
    <xf numFmtId="49" fontId="31" fillId="42" borderId="9" xfId="37" applyFont="1" applyFill="1" applyBorder="1" applyAlignment="1">
      <alignment vertical="center" wrapText="1"/>
    </xf>
    <xf numFmtId="49" fontId="26" fillId="42" borderId="9" xfId="37" applyFont="1" applyFill="1" applyBorder="1" applyAlignment="1">
      <alignment vertical="center" wrapText="1"/>
    </xf>
    <xf numFmtId="49" fontId="26" fillId="42" borderId="9" xfId="37" applyFont="1" applyFill="1" applyBorder="1" applyAlignment="1">
      <alignment horizontal="left" vertical="center" wrapText="1"/>
    </xf>
    <xf numFmtId="168" fontId="31" fillId="7" borderId="9" xfId="37" applyNumberFormat="1" applyFont="1" applyFill="1" applyBorder="1" applyAlignment="1" applyProtection="1">
      <alignment horizontal="right" vertical="center"/>
    </xf>
    <xf numFmtId="168" fontId="31" fillId="2" borderId="9" xfId="37" applyNumberFormat="1" applyFont="1" applyFill="1" applyBorder="1" applyAlignment="1" applyProtection="1">
      <alignment horizontal="right" vertical="center"/>
      <protection locked="0"/>
    </xf>
    <xf numFmtId="168" fontId="31" fillId="0" borderId="9" xfId="37" applyNumberFormat="1" applyFont="1" applyFill="1" applyBorder="1" applyAlignment="1" applyProtection="1">
      <alignment horizontal="right" vertical="center"/>
    </xf>
    <xf numFmtId="168" fontId="31" fillId="2" borderId="9" xfId="48" applyNumberFormat="1" applyFont="1" applyFill="1" applyBorder="1" applyAlignment="1" applyProtection="1">
      <alignment horizontal="right" vertical="center"/>
      <protection locked="0"/>
    </xf>
    <xf numFmtId="168" fontId="31" fillId="2" borderId="9" xfId="49" applyNumberFormat="1" applyFont="1" applyFill="1" applyBorder="1" applyAlignment="1" applyProtection="1">
      <alignment horizontal="right" vertical="center"/>
      <protection locked="0"/>
    </xf>
    <xf numFmtId="168" fontId="31" fillId="2" borderId="9" xfId="48" applyNumberFormat="1" applyFont="1" applyFill="1" applyBorder="1" applyAlignment="1" applyProtection="1">
      <alignment horizontal="right" vertical="center" wrapText="1"/>
      <protection locked="0"/>
    </xf>
    <xf numFmtId="168" fontId="31" fillId="7" borderId="10" xfId="37" applyNumberFormat="1" applyFont="1" applyFill="1" applyBorder="1" applyAlignment="1" applyProtection="1">
      <alignment horizontal="right" vertical="center"/>
    </xf>
    <xf numFmtId="168" fontId="31" fillId="2" borderId="10" xfId="37" applyNumberFormat="1" applyFont="1" applyFill="1" applyBorder="1" applyAlignment="1" applyProtection="1">
      <alignment horizontal="right" vertical="center"/>
      <protection locked="0"/>
    </xf>
    <xf numFmtId="168" fontId="31" fillId="2" borderId="5" xfId="37" applyNumberFormat="1" applyFont="1" applyFill="1" applyBorder="1" applyAlignment="1" applyProtection="1">
      <alignment horizontal="right" vertical="center"/>
      <protection locked="0"/>
    </xf>
    <xf numFmtId="168" fontId="31" fillId="7" borderId="9" xfId="49" applyNumberFormat="1" applyFont="1" applyFill="1" applyBorder="1" applyAlignment="1" applyProtection="1">
      <alignment horizontal="right" vertical="center"/>
    </xf>
    <xf numFmtId="0" fontId="31" fillId="0" borderId="10" xfId="50" applyFont="1" applyBorder="1" applyAlignment="1" applyProtection="1">
      <alignment horizontal="center" vertical="center" wrapText="1"/>
    </xf>
    <xf numFmtId="0" fontId="31" fillId="0" borderId="5" xfId="50" applyFont="1" applyBorder="1" applyAlignment="1" applyProtection="1">
      <alignment horizontal="center" vertical="center" wrapText="1"/>
    </xf>
    <xf numFmtId="0" fontId="20" fillId="0" borderId="0" xfId="48" applyFont="1" applyAlignment="1" applyProtection="1">
      <alignment horizontal="center" vertical="center"/>
    </xf>
    <xf numFmtId="49" fontId="31" fillId="0" borderId="0" xfId="37" applyFont="1" applyBorder="1" applyAlignment="1">
      <alignment horizontal="right" vertical="center"/>
    </xf>
    <xf numFmtId="0" fontId="24" fillId="41" borderId="22" xfId="0" applyFont="1" applyFill="1" applyBorder="1" applyAlignment="1" applyProtection="1">
      <alignment horizontal="left" vertical="center" indent="1"/>
    </xf>
    <xf numFmtId="49" fontId="26" fillId="0" borderId="9" xfId="37" applyFont="1" applyFill="1" applyBorder="1" applyAlignment="1" applyProtection="1">
      <alignment horizontal="left" vertical="center" wrapText="1" indent="1"/>
    </xf>
    <xf numFmtId="49" fontId="26" fillId="0" borderId="5" xfId="37" applyNumberFormat="1" applyFont="1" applyBorder="1" applyAlignment="1" applyProtection="1">
      <alignment vertical="center"/>
    </xf>
    <xf numFmtId="49" fontId="26" fillId="0" borderId="5" xfId="48" applyNumberFormat="1" applyFont="1" applyBorder="1" applyAlignment="1" applyProtection="1">
      <alignment vertical="center"/>
    </xf>
    <xf numFmtId="49" fontId="24" fillId="41" borderId="10" xfId="0" applyNumberFormat="1" applyFont="1" applyFill="1" applyBorder="1" applyAlignment="1" applyProtection="1">
      <alignment horizontal="center" vertical="top"/>
    </xf>
    <xf numFmtId="49" fontId="26" fillId="0" borderId="9" xfId="37" applyFont="1" applyFill="1" applyBorder="1" applyAlignment="1" applyProtection="1">
      <alignment horizontal="center" vertical="center" wrapText="1"/>
    </xf>
    <xf numFmtId="168" fontId="31" fillId="7" borderId="9" xfId="48" applyNumberFormat="1" applyFont="1" applyFill="1" applyBorder="1" applyAlignment="1" applyProtection="1">
      <alignment horizontal="right" vertical="center"/>
    </xf>
    <xf numFmtId="168" fontId="31" fillId="7" borderId="9" xfId="48" applyNumberFormat="1" applyFont="1" applyFill="1" applyBorder="1" applyAlignment="1" applyProtection="1">
      <alignment horizontal="right" vertical="center" wrapText="1"/>
    </xf>
    <xf numFmtId="49" fontId="31" fillId="0" borderId="7" xfId="37" applyFont="1" applyFill="1" applyBorder="1" applyAlignment="1" applyProtection="1">
      <alignment horizontal="left" vertical="center" wrapText="1" indent="1"/>
    </xf>
    <xf numFmtId="49" fontId="55" fillId="0" borderId="10" xfId="37" applyNumberFormat="1" applyFont="1" applyBorder="1" applyAlignment="1" applyProtection="1">
      <alignment vertical="center"/>
    </xf>
    <xf numFmtId="0" fontId="31" fillId="9" borderId="10" xfId="44" applyFont="1" applyFill="1" applyBorder="1" applyAlignment="1" applyProtection="1">
      <alignment horizontal="left" vertical="center"/>
    </xf>
    <xf numFmtId="49" fontId="55" fillId="0" borderId="0" xfId="37" applyFont="1" applyBorder="1" applyAlignment="1">
      <alignment horizontal="center" vertical="center" wrapText="1"/>
    </xf>
    <xf numFmtId="49" fontId="55" fillId="0" borderId="0" xfId="37" applyFont="1" applyBorder="1" applyAlignment="1" applyProtection="1">
      <alignment vertical="center"/>
    </xf>
    <xf numFmtId="0" fontId="55" fillId="0" borderId="0" xfId="48" applyFont="1" applyBorder="1" applyAlignment="1" applyProtection="1">
      <alignment vertical="center"/>
    </xf>
    <xf numFmtId="0" fontId="31" fillId="0" borderId="4" xfId="51" applyFont="1" applyFill="1" applyBorder="1" applyAlignment="1" applyProtection="1">
      <alignment horizontal="left" vertical="center"/>
    </xf>
    <xf numFmtId="49" fontId="31" fillId="0" borderId="9" xfId="37" applyFont="1" applyBorder="1" applyAlignment="1">
      <alignment horizontal="left" vertical="center" wrapText="1" indent="2"/>
    </xf>
    <xf numFmtId="22" fontId="31" fillId="0" borderId="0" xfId="0" applyNumberFormat="1" applyFont="1" applyAlignment="1" applyProtection="1">
      <alignment horizontal="right" vertical="center" wrapText="1" indent="1"/>
    </xf>
    <xf numFmtId="0" fontId="56" fillId="9" borderId="0" xfId="44" applyFont="1" applyFill="1" applyBorder="1" applyAlignment="1" applyProtection="1">
      <alignment horizontal="center" vertical="center" wrapText="1"/>
    </xf>
    <xf numFmtId="168" fontId="26" fillId="2" borderId="9" xfId="37" applyNumberFormat="1" applyFont="1" applyFill="1" applyBorder="1" applyAlignment="1" applyProtection="1">
      <alignment horizontal="right" vertical="center"/>
      <protection locked="0"/>
    </xf>
    <xf numFmtId="0" fontId="20" fillId="0" borderId="0" xfId="48" applyFont="1" applyAlignment="1" applyProtection="1">
      <alignment horizontal="center" vertical="center"/>
    </xf>
    <xf numFmtId="0" fontId="20" fillId="0" borderId="0" xfId="48" applyFont="1" applyAlignment="1" applyProtection="1">
      <alignment horizontal="center" vertical="center"/>
    </xf>
    <xf numFmtId="0" fontId="26" fillId="0" borderId="0" xfId="48" applyFont="1" applyAlignment="1" applyProtection="1">
      <alignment vertical="center"/>
    </xf>
    <xf numFmtId="0" fontId="26" fillId="0" borderId="0" xfId="48" applyFont="1" applyAlignment="1" applyProtection="1">
      <alignment horizontal="left" vertical="center" indent="1"/>
    </xf>
    <xf numFmtId="0" fontId="26" fillId="0" borderId="0" xfId="48" applyNumberFormat="1" applyFont="1" applyAlignment="1" applyProtection="1">
      <alignment vertical="center"/>
    </xf>
    <xf numFmtId="0" fontId="26" fillId="0" borderId="0" xfId="47" applyFont="1" applyAlignment="1" applyProtection="1">
      <alignment vertical="center"/>
    </xf>
    <xf numFmtId="49" fontId="26" fillId="0" borderId="0" xfId="48" applyNumberFormat="1" applyFont="1" applyAlignment="1" applyProtection="1">
      <alignment vertical="center"/>
    </xf>
    <xf numFmtId="0" fontId="26" fillId="0" borderId="0" xfId="48" applyFont="1" applyBorder="1" applyAlignment="1" applyProtection="1">
      <alignment vertical="center"/>
    </xf>
    <xf numFmtId="0" fontId="27" fillId="0" borderId="0" xfId="48" applyFont="1" applyBorder="1" applyAlignment="1" applyProtection="1">
      <alignment horizontal="right" vertical="center"/>
    </xf>
    <xf numFmtId="0" fontId="27" fillId="0" borderId="0" xfId="48" applyFont="1" applyAlignment="1" applyProtection="1">
      <alignment horizontal="center" vertical="center"/>
    </xf>
    <xf numFmtId="0" fontId="27" fillId="0" borderId="0" xfId="48" applyFont="1" applyFill="1" applyBorder="1" applyAlignment="1" applyProtection="1">
      <alignment horizontal="center" vertical="center"/>
    </xf>
    <xf numFmtId="0" fontId="26" fillId="0" borderId="4" xfId="51" applyFont="1" applyFill="1" applyBorder="1" applyAlignment="1" applyProtection="1">
      <alignment horizontal="left" vertical="center"/>
    </xf>
    <xf numFmtId="0" fontId="26" fillId="0" borderId="7" xfId="48" applyFont="1" applyBorder="1" applyAlignment="1" applyProtection="1">
      <alignment vertical="center"/>
    </xf>
    <xf numFmtId="49" fontId="26" fillId="0" borderId="0" xfId="37" applyFont="1" applyBorder="1" applyAlignment="1">
      <alignment horizontal="right" vertical="center"/>
    </xf>
    <xf numFmtId="0" fontId="26" fillId="0" borderId="8" xfId="48" applyFont="1" applyBorder="1" applyAlignment="1" applyProtection="1">
      <alignment vertical="center"/>
    </xf>
    <xf numFmtId="0" fontId="26" fillId="0" borderId="10" xfId="50" applyFont="1" applyBorder="1" applyAlignment="1" applyProtection="1">
      <alignment horizontal="center" vertical="center" wrapText="1"/>
    </xf>
    <xf numFmtId="0" fontId="26" fillId="0" borderId="5" xfId="50" applyFont="1" applyBorder="1" applyAlignment="1" applyProtection="1">
      <alignment horizontal="center" vertical="center" wrapText="1"/>
    </xf>
    <xf numFmtId="49" fontId="26" fillId="0" borderId="0" xfId="37" applyFont="1" applyAlignment="1" applyProtection="1">
      <alignment vertical="center"/>
    </xf>
    <xf numFmtId="49" fontId="26" fillId="0" borderId="0" xfId="37" applyFont="1" applyBorder="1" applyAlignment="1" applyProtection="1">
      <alignment vertical="center"/>
    </xf>
    <xf numFmtId="49" fontId="26" fillId="0" borderId="8" xfId="37" applyFont="1" applyBorder="1" applyAlignment="1" applyProtection="1">
      <alignment vertical="center"/>
    </xf>
    <xf numFmtId="168" fontId="26" fillId="7" borderId="9" xfId="37" applyNumberFormat="1" applyFont="1" applyFill="1" applyBorder="1" applyAlignment="1" applyProtection="1">
      <alignment horizontal="right" vertical="center"/>
    </xf>
    <xf numFmtId="49" fontId="26" fillId="0" borderId="7" xfId="37" applyFont="1" applyFill="1" applyBorder="1" applyAlignment="1" applyProtection="1">
      <alignment horizontal="left" vertical="center" wrapText="1" indent="1"/>
    </xf>
    <xf numFmtId="166" fontId="26" fillId="0" borderId="7" xfId="37" applyNumberFormat="1" applyFont="1" applyFill="1" applyBorder="1" applyAlignment="1" applyProtection="1">
      <alignment horizontal="right" vertical="center"/>
    </xf>
    <xf numFmtId="0" fontId="26" fillId="9" borderId="10" xfId="44" applyFont="1" applyFill="1" applyBorder="1" applyAlignment="1" applyProtection="1">
      <alignment horizontal="left" vertical="center"/>
    </xf>
    <xf numFmtId="168" fontId="26" fillId="7" borderId="10" xfId="37" applyNumberFormat="1" applyFont="1" applyFill="1" applyBorder="1" applyAlignment="1" applyProtection="1">
      <alignment horizontal="right" vertical="center"/>
    </xf>
    <xf numFmtId="168" fontId="26" fillId="2" borderId="10" xfId="37" applyNumberFormat="1" applyFont="1" applyFill="1" applyBorder="1" applyAlignment="1" applyProtection="1">
      <alignment horizontal="right" vertical="center"/>
      <protection locked="0"/>
    </xf>
    <xf numFmtId="168" fontId="26" fillId="2" borderId="5" xfId="37" applyNumberFormat="1" applyFont="1" applyFill="1" applyBorder="1" applyAlignment="1" applyProtection="1">
      <alignment horizontal="right" vertical="center"/>
      <protection locked="0"/>
    </xf>
    <xf numFmtId="166" fontId="26" fillId="0" borderId="9" xfId="37" applyNumberFormat="1" applyFont="1" applyFill="1" applyBorder="1" applyAlignment="1" applyProtection="1">
      <alignment horizontal="right" vertical="center"/>
    </xf>
    <xf numFmtId="168" fontId="26" fillId="0" borderId="9" xfId="37" applyNumberFormat="1" applyFont="1" applyFill="1" applyBorder="1" applyAlignment="1" applyProtection="1">
      <alignment horizontal="right" vertical="center"/>
    </xf>
    <xf numFmtId="168" fontId="26" fillId="2" borderId="9" xfId="48" applyNumberFormat="1" applyFont="1" applyFill="1" applyBorder="1" applyAlignment="1" applyProtection="1">
      <alignment horizontal="right" vertical="center"/>
      <protection locked="0"/>
    </xf>
    <xf numFmtId="168" fontId="26" fillId="7" borderId="9" xfId="48" applyNumberFormat="1" applyFont="1" applyFill="1" applyBorder="1" applyAlignment="1" applyProtection="1">
      <alignment horizontal="right" vertical="center"/>
    </xf>
    <xf numFmtId="168" fontId="26" fillId="7" borderId="9" xfId="49" applyNumberFormat="1" applyFont="1" applyFill="1" applyBorder="1" applyAlignment="1" applyProtection="1">
      <alignment horizontal="right" vertical="center"/>
    </xf>
    <xf numFmtId="0" fontId="26" fillId="0" borderId="8" xfId="48" applyFont="1" applyFill="1" applyBorder="1" applyAlignment="1" applyProtection="1">
      <alignment vertical="center"/>
    </xf>
    <xf numFmtId="168" fontId="26" fillId="2" borderId="9" xfId="49" applyNumberFormat="1" applyFont="1" applyFill="1" applyBorder="1" applyAlignment="1" applyProtection="1">
      <alignment horizontal="right" vertical="center"/>
      <protection locked="0"/>
    </xf>
    <xf numFmtId="168" fontId="26" fillId="2" borderId="9" xfId="48" applyNumberFormat="1" applyFont="1" applyFill="1" applyBorder="1" applyAlignment="1" applyProtection="1">
      <alignment horizontal="right" vertical="center" wrapText="1"/>
      <protection locked="0"/>
    </xf>
    <xf numFmtId="168" fontId="26" fillId="7" borderId="9" xfId="48" applyNumberFormat="1" applyFont="1" applyFill="1" applyBorder="1" applyAlignment="1" applyProtection="1">
      <alignment horizontal="right" vertical="center" wrapText="1"/>
    </xf>
    <xf numFmtId="0" fontId="26" fillId="0" borderId="7" xfId="48" applyFont="1" applyFill="1" applyBorder="1" applyAlignment="1" applyProtection="1">
      <alignment horizontal="center" vertical="center" wrapText="1"/>
    </xf>
    <xf numFmtId="0" fontId="26" fillId="0" borderId="0" xfId="48" applyFont="1" applyFill="1" applyBorder="1" applyAlignment="1" applyProtection="1">
      <alignment horizontal="center" vertical="center" wrapText="1"/>
    </xf>
    <xf numFmtId="0" fontId="26" fillId="0" borderId="0" xfId="48" applyFont="1" applyFill="1" applyBorder="1" applyAlignment="1" applyProtection="1">
      <alignment vertical="center"/>
    </xf>
    <xf numFmtId="0" fontId="20" fillId="0" borderId="0" xfId="48" applyFont="1" applyAlignment="1" applyProtection="1">
      <alignment horizontal="center" vertical="center"/>
    </xf>
    <xf numFmtId="0" fontId="26" fillId="0" borderId="10" xfId="50" applyFont="1" applyBorder="1" applyAlignment="1" applyProtection="1">
      <alignment horizontal="center" vertical="center" wrapText="1"/>
    </xf>
    <xf numFmtId="17" fontId="26" fillId="0" borderId="4" xfId="51" applyNumberFormat="1" applyFont="1" applyFill="1" applyBorder="1" applyAlignment="1" applyProtection="1">
      <alignment horizontal="left" vertical="center"/>
    </xf>
    <xf numFmtId="0" fontId="20" fillId="0" borderId="0" xfId="48" applyFont="1" applyAlignment="1" applyProtection="1">
      <alignment horizontal="center" vertical="center"/>
    </xf>
    <xf numFmtId="0" fontId="26" fillId="0" borderId="10" xfId="50" applyFont="1" applyBorder="1" applyAlignment="1" applyProtection="1">
      <alignment horizontal="center" vertical="center" wrapText="1"/>
    </xf>
    <xf numFmtId="0" fontId="20" fillId="0" borderId="0" xfId="48" applyFont="1" applyAlignment="1" applyProtection="1">
      <alignment horizontal="center" vertical="center"/>
    </xf>
    <xf numFmtId="0" fontId="26" fillId="0" borderId="10" xfId="50" applyFont="1" applyBorder="1" applyAlignment="1" applyProtection="1">
      <alignment horizontal="center" vertical="center" wrapText="1"/>
    </xf>
    <xf numFmtId="0" fontId="20" fillId="0" borderId="0" xfId="48" applyFont="1" applyAlignment="1" applyProtection="1">
      <alignment horizontal="center" vertical="center"/>
    </xf>
    <xf numFmtId="0" fontId="26" fillId="0" borderId="10" xfId="50" applyFont="1" applyBorder="1" applyAlignment="1" applyProtection="1">
      <alignment horizontal="center" vertical="center" wrapText="1"/>
    </xf>
    <xf numFmtId="0" fontId="32" fillId="0" borderId="7" xfId="51" applyFont="1" applyFill="1" applyBorder="1" applyAlignment="1" applyProtection="1">
      <alignment horizontal="left" vertical="center" wrapText="1"/>
    </xf>
    <xf numFmtId="0" fontId="26" fillId="0" borderId="6" xfId="48" applyFont="1" applyBorder="1" applyAlignment="1" applyProtection="1">
      <alignment horizontal="center" vertical="center" wrapText="1"/>
    </xf>
    <xf numFmtId="0" fontId="31" fillId="0" borderId="24" xfId="48" applyFont="1" applyBorder="1" applyAlignment="1" applyProtection="1">
      <alignment horizontal="center" vertical="center" wrapText="1"/>
    </xf>
    <xf numFmtId="49" fontId="26" fillId="43" borderId="10" xfId="37" applyFont="1" applyFill="1" applyBorder="1" applyAlignment="1">
      <alignment horizontal="center" vertical="center"/>
    </xf>
    <xf numFmtId="49" fontId="26" fillId="43" borderId="22" xfId="37" applyFont="1" applyFill="1" applyBorder="1" applyAlignment="1">
      <alignment horizontal="center" vertical="center"/>
    </xf>
    <xf numFmtId="49" fontId="26" fillId="43" borderId="23" xfId="37" applyFont="1" applyFill="1" applyBorder="1" applyAlignment="1">
      <alignment horizontal="center" vertical="center"/>
    </xf>
    <xf numFmtId="0" fontId="31" fillId="0" borderId="9" xfId="50" applyFont="1" applyBorder="1" applyAlignment="1" applyProtection="1">
      <alignment horizontal="center" vertical="center" wrapText="1"/>
    </xf>
    <xf numFmtId="0" fontId="31" fillId="0" borderId="10" xfId="50" applyFont="1" applyBorder="1" applyAlignment="1" applyProtection="1">
      <alignment horizontal="center" vertical="center" wrapText="1"/>
    </xf>
    <xf numFmtId="0" fontId="31" fillId="0" borderId="6" xfId="50" applyFont="1" applyBorder="1" applyAlignment="1" applyProtection="1">
      <alignment horizontal="center" vertical="center" wrapText="1"/>
    </xf>
    <xf numFmtId="0" fontId="20" fillId="0" borderId="11" xfId="48" applyNumberFormat="1" applyFont="1" applyBorder="1" applyAlignment="1" applyProtection="1">
      <alignment horizontal="center" vertical="center"/>
    </xf>
    <xf numFmtId="0" fontId="20" fillId="0" borderId="0" xfId="48" applyFont="1" applyAlignment="1" applyProtection="1">
      <alignment horizontal="center" vertical="center"/>
    </xf>
    <xf numFmtId="0" fontId="20" fillId="0" borderId="12" xfId="48" applyFont="1" applyBorder="1" applyAlignment="1" applyProtection="1">
      <alignment horizontal="center" vertical="center"/>
    </xf>
    <xf numFmtId="0" fontId="27" fillId="0" borderId="7" xfId="51" applyFont="1" applyFill="1" applyBorder="1" applyAlignment="1" applyProtection="1">
      <alignment horizontal="left" vertical="center" wrapText="1"/>
    </xf>
    <xf numFmtId="0" fontId="26" fillId="0" borderId="24" xfId="48" applyFont="1" applyBorder="1" applyAlignment="1" applyProtection="1">
      <alignment horizontal="center" vertical="center" wrapText="1"/>
    </xf>
    <xf numFmtId="0" fontId="26" fillId="0" borderId="9" xfId="50" applyFont="1" applyBorder="1" applyAlignment="1" applyProtection="1">
      <alignment horizontal="center" vertical="center" wrapText="1"/>
    </xf>
    <xf numFmtId="0" fontId="26" fillId="0" borderId="10" xfId="50" applyFont="1" applyBorder="1" applyAlignment="1" applyProtection="1">
      <alignment horizontal="center" vertical="center" wrapText="1"/>
    </xf>
    <xf numFmtId="0" fontId="26" fillId="0" borderId="6" xfId="50" applyFont="1" applyBorder="1" applyAlignment="1" applyProtection="1">
      <alignment horizontal="center" vertical="center" wrapText="1"/>
    </xf>
    <xf numFmtId="0" fontId="57" fillId="0" borderId="0" xfId="0" applyNumberFormat="1" applyFont="1" applyAlignment="1"/>
    <xf numFmtId="0" fontId="0" fillId="0" borderId="0" xfId="0" applyNumberFormat="1" applyFont="1" applyAlignment="1"/>
    <xf numFmtId="0" fontId="57" fillId="0" borderId="25" xfId="0" applyNumberFormat="1" applyFont="1" applyBorder="1" applyAlignment="1">
      <alignment horizontal="center" vertical="center"/>
    </xf>
    <xf numFmtId="0" fontId="57" fillId="44" borderId="25" xfId="0" applyNumberFormat="1" applyFont="1" applyFill="1" applyBorder="1" applyAlignment="1">
      <alignment horizontal="center" vertical="center"/>
    </xf>
    <xf numFmtId="49" fontId="57" fillId="0" borderId="0" xfId="0" applyNumberFormat="1" applyFont="1" applyAlignment="1"/>
    <xf numFmtId="0" fontId="58" fillId="0" borderId="26" xfId="51" applyNumberFormat="1" applyFont="1" applyBorder="1" applyAlignment="1">
      <alignment vertical="center"/>
    </xf>
    <xf numFmtId="0" fontId="57" fillId="0" borderId="0" xfId="0" applyNumberFormat="1" applyFont="1" applyAlignment="1">
      <alignment vertical="center"/>
    </xf>
    <xf numFmtId="0" fontId="57" fillId="0" borderId="27" xfId="37" applyNumberFormat="1" applyFont="1" applyBorder="1" applyAlignment="1">
      <alignment vertical="center"/>
    </xf>
    <xf numFmtId="0" fontId="57" fillId="0" borderId="0" xfId="0" applyNumberFormat="1" applyFont="1" applyAlignment="1">
      <alignment horizontal="left" vertical="center"/>
    </xf>
    <xf numFmtId="49" fontId="57" fillId="0" borderId="0" xfId="37" applyNumberFormat="1" applyFont="1" applyAlignment="1">
      <alignment horizontal="right" vertical="center" indent="1"/>
    </xf>
    <xf numFmtId="49" fontId="57" fillId="0" borderId="25" xfId="37" applyNumberFormat="1" applyFont="1" applyBorder="1" applyAlignment="1">
      <alignment horizontal="center" vertical="center" wrapText="1"/>
    </xf>
    <xf numFmtId="49" fontId="57" fillId="0" borderId="25" xfId="37" applyNumberFormat="1" applyFont="1" applyBorder="1" applyAlignment="1">
      <alignment horizontal="center" vertical="center" wrapText="1"/>
    </xf>
    <xf numFmtId="0" fontId="59" fillId="0" borderId="0" xfId="0" applyNumberFormat="1" applyFont="1" applyAlignment="1">
      <alignment horizontal="center" vertical="center" wrapText="1"/>
    </xf>
    <xf numFmtId="0" fontId="57" fillId="45" borderId="28" xfId="0" applyNumberFormat="1" applyFont="1" applyFill="1" applyBorder="1" applyAlignment="1">
      <alignment horizontal="left" vertical="center" wrapText="1" indent="1"/>
    </xf>
    <xf numFmtId="0" fontId="57" fillId="45" borderId="29" xfId="0" applyNumberFormat="1" applyFont="1" applyFill="1" applyBorder="1" applyAlignment="1">
      <alignment horizontal="left" vertical="center" wrapText="1" indent="1"/>
    </xf>
    <xf numFmtId="0" fontId="57" fillId="45" borderId="29" xfId="0" applyNumberFormat="1" applyFont="1" applyFill="1" applyBorder="1" applyAlignment="1">
      <alignment vertical="center" wrapText="1"/>
    </xf>
    <xf numFmtId="0" fontId="57" fillId="45" borderId="29" xfId="0" applyNumberFormat="1" applyFont="1" applyFill="1" applyBorder="1" applyAlignment="1">
      <alignment horizontal="center" vertical="center" wrapText="1"/>
    </xf>
    <xf numFmtId="0" fontId="57" fillId="45" borderId="30" xfId="0" applyNumberFormat="1" applyFont="1" applyFill="1" applyBorder="1" applyAlignment="1">
      <alignment horizontal="center" vertical="center" wrapText="1"/>
    </xf>
    <xf numFmtId="0" fontId="57" fillId="46" borderId="25" xfId="0" applyNumberFormat="1" applyFont="1" applyFill="1" applyBorder="1" applyAlignment="1"/>
    <xf numFmtId="0" fontId="57" fillId="47" borderId="25" xfId="0" applyNumberFormat="1" applyFont="1" applyFill="1" applyBorder="1" applyAlignment="1">
      <alignment horizontal="left" vertical="center" wrapText="1" indent="1"/>
    </xf>
    <xf numFmtId="0" fontId="57" fillId="47" borderId="25" xfId="0" applyNumberFormat="1" applyFont="1" applyFill="1" applyBorder="1" applyAlignment="1">
      <alignment vertical="center" wrapText="1"/>
    </xf>
    <xf numFmtId="0" fontId="57" fillId="47" borderId="25" xfId="0" applyNumberFormat="1" applyFont="1" applyFill="1" applyBorder="1" applyAlignment="1">
      <alignment horizontal="center" vertical="center" wrapText="1"/>
    </xf>
    <xf numFmtId="168" fontId="57" fillId="48" borderId="25" xfId="0" applyNumberFormat="1" applyFont="1" applyFill="1" applyBorder="1" applyAlignment="1">
      <alignment horizontal="right" vertical="center"/>
    </xf>
    <xf numFmtId="49" fontId="57" fillId="0" borderId="25" xfId="0" applyNumberFormat="1" applyFont="1" applyBorder="1" applyAlignment="1">
      <alignment horizontal="center" vertical="center"/>
    </xf>
    <xf numFmtId="0" fontId="57" fillId="49" borderId="25" xfId="37" applyNumberFormat="1" applyFont="1" applyFill="1" applyBorder="1" applyAlignment="1">
      <alignment horizontal="left" vertical="center" wrapText="1" indent="1"/>
    </xf>
    <xf numFmtId="0" fontId="57" fillId="0" borderId="25" xfId="37" applyNumberFormat="1" applyFont="1" applyBorder="1" applyAlignment="1">
      <alignment horizontal="left" vertical="center" wrapText="1" indent="1"/>
    </xf>
    <xf numFmtId="168" fontId="57" fillId="50" borderId="25" xfId="0" applyNumberFormat="1" applyFont="1" applyFill="1" applyBorder="1" applyAlignment="1" applyProtection="1">
      <alignment horizontal="right" vertical="center"/>
      <protection locked="0"/>
    </xf>
    <xf numFmtId="0" fontId="60" fillId="0" borderId="28" xfId="37" applyNumberFormat="1" applyFont="1" applyBorder="1" applyAlignment="1">
      <alignment horizontal="left" vertical="center" wrapText="1" indent="1"/>
    </xf>
    <xf numFmtId="0" fontId="61" fillId="51" borderId="31" xfId="0" applyNumberFormat="1" applyFont="1" applyFill="1" applyBorder="1" applyAlignment="1">
      <alignment horizontal="left" vertical="center" indent="1"/>
    </xf>
    <xf numFmtId="49" fontId="57" fillId="0" borderId="29" xfId="37" applyNumberFormat="1" applyFont="1" applyBorder="1" applyAlignment="1">
      <alignment horizontal="center" vertical="center" wrapText="1"/>
    </xf>
    <xf numFmtId="168" fontId="57" fillId="0" borderId="29" xfId="0" applyNumberFormat="1" applyFont="1" applyBorder="1" applyAlignment="1">
      <alignment horizontal="right" vertical="center"/>
    </xf>
    <xf numFmtId="168" fontId="57" fillId="0" borderId="30" xfId="0" applyNumberFormat="1" applyFont="1" applyBorder="1" applyAlignment="1">
      <alignment horizontal="right" vertical="center"/>
    </xf>
    <xf numFmtId="0" fontId="57" fillId="0" borderId="28" xfId="37" applyNumberFormat="1" applyFont="1" applyBorder="1" applyAlignment="1">
      <alignment horizontal="left" vertical="center" wrapText="1" indent="1"/>
    </xf>
    <xf numFmtId="49" fontId="57" fillId="52" borderId="25" xfId="0" applyNumberFormat="1" applyFont="1" applyFill="1" applyBorder="1" applyAlignment="1">
      <alignment horizontal="center" vertical="center"/>
    </xf>
    <xf numFmtId="49" fontId="62" fillId="0" borderId="0" xfId="0" applyNumberFormat="1" applyFont="1" applyAlignment="1">
      <alignment horizontal="center" vertical="top" wrapText="1"/>
    </xf>
    <xf numFmtId="0" fontId="57" fillId="52" borderId="25" xfId="37" applyNumberFormat="1" applyFont="1" applyFill="1" applyBorder="1" applyAlignment="1">
      <alignment horizontal="left" vertical="center" wrapText="1" indent="2"/>
    </xf>
    <xf numFmtId="49" fontId="57" fillId="0" borderId="25" xfId="0" applyNumberFormat="1" applyFont="1" applyBorder="1" applyAlignment="1">
      <alignment horizontal="left" vertical="center"/>
    </xf>
    <xf numFmtId="168" fontId="57" fillId="46" borderId="25" xfId="0" applyNumberFormat="1" applyFont="1" applyFill="1" applyBorder="1" applyAlignment="1">
      <alignment horizontal="right" vertical="center"/>
    </xf>
    <xf numFmtId="0" fontId="57" fillId="0" borderId="25" xfId="37" applyNumberFormat="1" applyFont="1" applyBorder="1" applyAlignment="1">
      <alignment horizontal="left" vertical="center" wrapText="1" indent="2"/>
    </xf>
    <xf numFmtId="0" fontId="57" fillId="0" borderId="25" xfId="37" applyNumberFormat="1" applyFont="1" applyBorder="1" applyAlignment="1">
      <alignment horizontal="left" vertical="center" wrapText="1" indent="3"/>
    </xf>
    <xf numFmtId="0" fontId="57" fillId="0" borderId="25" xfId="37" applyNumberFormat="1" applyFont="1" applyBorder="1" applyAlignment="1">
      <alignment horizontal="left" vertical="center" wrapText="1" indent="4"/>
    </xf>
    <xf numFmtId="17" fontId="57" fillId="0" borderId="27" xfId="37" applyNumberFormat="1" applyFont="1" applyBorder="1" applyAlignment="1">
      <alignment vertical="center"/>
    </xf>
  </cellXfs>
  <cellStyles count="9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69" builtinId="30" hidden="1"/>
    <cellStyle name="20% - Акцент2" xfId="73" builtinId="34" hidden="1"/>
    <cellStyle name="20% - Акцент3" xfId="77" builtinId="38" hidden="1"/>
    <cellStyle name="20% - Акцент4" xfId="81" builtinId="42" hidden="1"/>
    <cellStyle name="20% - Акцент5" xfId="85" builtinId="46" hidden="1"/>
    <cellStyle name="20% - Акцент6" xfId="89" builtinId="50" hidden="1"/>
    <cellStyle name="40% - Акцент1" xfId="70" builtinId="31" hidden="1"/>
    <cellStyle name="40% - Акцент2" xfId="74" builtinId="35" hidden="1"/>
    <cellStyle name="40% - Акцент3" xfId="78" builtinId="39" hidden="1"/>
    <cellStyle name="40% - Акцент4" xfId="82" builtinId="43" hidden="1"/>
    <cellStyle name="40% - Акцент5" xfId="86" builtinId="47" hidden="1"/>
    <cellStyle name="40% - Акцент6" xfId="90" builtinId="51" hidden="1"/>
    <cellStyle name="60% - Акцент1" xfId="71" builtinId="32" hidden="1"/>
    <cellStyle name="60% - Акцент2" xfId="75" builtinId="36" hidden="1"/>
    <cellStyle name="60% - Акцент3" xfId="79" builtinId="40" hidden="1"/>
    <cellStyle name="60% - Акцент4" xfId="83" builtinId="44" hidden="1"/>
    <cellStyle name="60% - Акцент5" xfId="87" builtinId="48" hidden="1"/>
    <cellStyle name="60% - Акцент6" xfId="9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68" builtinId="29" hidden="1"/>
    <cellStyle name="Акцент2" xfId="72" builtinId="33" hidden="1"/>
    <cellStyle name="Акцент3" xfId="76" builtinId="37" hidden="1"/>
    <cellStyle name="Акцент4" xfId="80" builtinId="41" hidden="1"/>
    <cellStyle name="Акцент5" xfId="84" builtinId="45" hidden="1"/>
    <cellStyle name="Акцент6" xfId="88" builtinId="49" hidden="1"/>
    <cellStyle name="Ввод " xfId="30" builtinId="20" customBuiltin="1"/>
    <cellStyle name="Вывод" xfId="60" builtinId="21" hidden="1"/>
    <cellStyle name="Вычисление" xfId="61" builtinId="22" hidden="1"/>
    <cellStyle name="Гиперссылка" xfId="31" builtinId="8" customBuiltin="1"/>
    <cellStyle name="Гиперссылка 2 2 2" xfId="32"/>
    <cellStyle name="Гиперссылка 4 6" xfId="33"/>
    <cellStyle name="Гиперссылка 5" xfId="34"/>
    <cellStyle name="Денежный" xfId="94" builtinId="4" hidden="1"/>
    <cellStyle name="Денежный [0]" xfId="95" builtinId="7" hidden="1"/>
    <cellStyle name="Заголовок" xfId="35"/>
    <cellStyle name="Заголовок 1" xfId="53" builtinId="16" hidden="1"/>
    <cellStyle name="Заголовок 2" xfId="54" builtinId="17" hidden="1"/>
    <cellStyle name="Заголовок 3" xfId="55" builtinId="18" hidden="1"/>
    <cellStyle name="Заголовок 4" xfId="56" builtinId="19" hidden="1"/>
    <cellStyle name="ЗаголовокСтолбца" xfId="36"/>
    <cellStyle name="Итог" xfId="67" builtinId="25" hidden="1"/>
    <cellStyle name="Контрольная ячейка" xfId="63" builtinId="23" hidden="1"/>
    <cellStyle name="Название" xfId="52" builtinId="15" hidden="1"/>
    <cellStyle name="Нейтральный" xfId="59" builtinId="28" hidden="1"/>
    <cellStyle name="Обычный" xfId="0" builtinId="0" customBuiltin="1"/>
    <cellStyle name="Обычный 10" xfId="37"/>
    <cellStyle name="Обычный 11" xfId="38"/>
    <cellStyle name="Обычный 12 3 2" xfId="39"/>
    <cellStyle name="Обычный 2" xfId="40"/>
    <cellStyle name="Обычный 2 14" xfId="41"/>
    <cellStyle name="Обычный 3" xfId="98"/>
    <cellStyle name="Обычный 3 3 2" xfId="42"/>
    <cellStyle name="Обычный_46EE(v6.1.1)" xfId="43"/>
    <cellStyle name="Обычный_MINENERGO.340.PRIL79(v0.1)" xfId="44"/>
    <cellStyle name="Обычный_PASSPORT.TEPLO.PROIZV.2016(v1.0)" xfId="45"/>
    <cellStyle name="Обычный_ЖКУ_проект3" xfId="46"/>
    <cellStyle name="Обычный_Полезный отпуск электроэнергии и мощности, реализуемой по нерегулируемым ценам" xfId="47"/>
    <cellStyle name="Обычный_Полезный отпуск электроэнергии и мощности, реализуемой по регулируемым ценам" xfId="48"/>
    <cellStyle name="Обычный_Продажа" xfId="49"/>
    <cellStyle name="Обычный_Сведения об отпуске (передаче) электроэнергии потребителям распределительными сетевыми организациями" xfId="50"/>
    <cellStyle name="Обычный_Шаблон по источникам для Модуля Реестр (2)" xfId="51"/>
    <cellStyle name="Открывавшаяся гиперссылка" xfId="97" builtinId="9" hidden="1"/>
    <cellStyle name="Плохой" xfId="58" builtinId="27" hidden="1"/>
    <cellStyle name="Пояснение" xfId="66" builtinId="53" hidden="1"/>
    <cellStyle name="Примечание" xfId="65" builtinId="10" hidden="1"/>
    <cellStyle name="Процентный" xfId="96" builtinId="5" hidden="1"/>
    <cellStyle name="Связанная ячейка" xfId="62" builtinId="24" hidden="1"/>
    <cellStyle name="Текст предупреждения" xfId="64" builtinId="11" hidden="1"/>
    <cellStyle name="Финансовый" xfId="92" builtinId="3" hidden="1"/>
    <cellStyle name="Финансовый [0]" xfId="93" builtinId="6" hidden="1"/>
    <cellStyle name="Хороший" xfId="57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FFFFEB"/>
      <rgbColor rgb="000000FF"/>
      <rgbColor rgb="00FFFF00"/>
      <rgbColor rgb="00FF00FF"/>
      <rgbColor rgb="0000FFFF"/>
      <rgbColor rgb="00800000"/>
      <rgbColor rgb="00FF9966"/>
      <rgbColor rgb="00000080"/>
      <rgbColor rgb="00808000"/>
      <rgbColor rgb="00800080"/>
      <rgbColor rgb="00008080"/>
      <rgbColor rgb="00BCBCBC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D3DBD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99CCFF"/>
      <rgbColor rgb="0000FF99"/>
      <rgbColor rgb="00CC99FF"/>
      <rgbColor rgb="00FFCC99"/>
      <rgbColor rgb="003366FF"/>
      <rgbColor rgb="0033CCCC"/>
      <rgbColor rgb="00CCFF99"/>
      <rgbColor rgb="00FFCC00"/>
      <rgbColor rgb="00FF9900"/>
      <rgbColor rgb="00FF6600"/>
      <rgbColor rgb="00666699"/>
      <rgbColor rgb="00999999"/>
      <rgbColor rgb="00003366"/>
      <rgbColor rgb="00FF5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5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6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114300</xdr:rowOff>
    </xdr:from>
    <xdr:to>
      <xdr:col>6</xdr:col>
      <xdr:colOff>47625</xdr:colOff>
      <xdr:row>1</xdr:row>
      <xdr:rowOff>219075</xdr:rowOff>
    </xdr:to>
    <xdr:sp macro="[0]!modUpdTemplLogger.cmdClearLog_Click" textlink="">
      <xdr:nvSpPr>
        <xdr:cNvPr id="184492" name="cmdClearLog"/>
        <xdr:cNvSpPr>
          <a:spLocks noChangeArrowheads="1"/>
        </xdr:cNvSpPr>
      </xdr:nvSpPr>
      <xdr:spPr bwMode="auto">
        <a:xfrm>
          <a:off x="8905875" y="114300"/>
          <a:ext cx="1171575" cy="247650"/>
        </a:xfrm>
        <a:prstGeom prst="roundRect">
          <a:avLst>
            <a:gd name="adj" fmla="val 0"/>
          </a:avLst>
        </a:prstGeom>
        <a:gradFill flip="none" rotWithShape="1">
          <a:gsLst>
            <a:gs pos="0">
              <a:schemeClr val="bg1"/>
            </a:gs>
            <a:gs pos="100000">
              <a:srgbClr val="C0C0C0"/>
            </a:gs>
          </a:gsLst>
          <a:lin ang="5400000" scaled="1"/>
          <a:tileRect/>
        </a:gradFill>
        <a:ln w="952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28575</xdr:rowOff>
    </xdr:from>
    <xdr:to>
      <xdr:col>2</xdr:col>
      <xdr:colOff>464083</xdr:colOff>
      <xdr:row>1</xdr:row>
      <xdr:rowOff>59400</xdr:rowOff>
    </xdr:to>
    <xdr:pic macro="[0]!AllSheetsInThisWorkbook.MakeList"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28575"/>
          <a:ext cx="292633" cy="288000"/>
        </a:xfrm>
        <a:prstGeom prst="rect">
          <a:avLst/>
        </a:prstGeom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2\&#1076;&#1086;%2020%20&#1077;&#1078;&#1077;&#1084;&#1077;&#1089;.%2046%20&#1092;&#1086;&#1088;&#1084;&#1072;\2022\46EP%20STX(v1%200)%20&#1092;&#1077;&#1074;&#1088;&#1072;&#1083;&#1100;%20202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2\&#1076;&#1086;%2020%20&#1077;&#1078;&#1077;&#1084;&#1077;&#1089;.%2046%20&#1092;&#1086;&#1088;&#1084;&#1072;\2022\46EP%20STX(v1%200)%20&#1084;&#1072;&#1088;&#1090;%202022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2\&#1076;&#1086;%2020%20&#1077;&#1078;&#1077;&#1084;&#1077;&#1089;.%2046%20&#1092;&#1086;&#1088;&#1084;&#1072;\2022\46EP%20STX(v1%200)%20&#1072;&#1087;&#1088;&#1077;&#1083;&#1100;%202022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2\&#1076;&#1086;%2020%20&#1077;&#1078;&#1077;&#1084;&#1077;&#1089;.%2046%20&#1092;&#1086;&#1088;&#1084;&#1072;\2022\46EP%20STX(v1%200)%20&#1084;&#1072;&#1081;%202022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2\&#1076;&#1086;%2020%20&#1077;&#1078;&#1077;&#1084;&#1077;&#1089;.%2046%20&#1092;&#1086;&#1088;&#1084;&#1072;\2022\46EP%20STX(v1%200)%20&#1080;&#1102;&#1085;&#1100;%202022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2\&#1076;&#1086;%2020%20&#1077;&#1078;&#1077;&#1084;&#1077;&#1089;.%2046%20&#1092;&#1086;&#1088;&#1084;&#1072;\2022\46EP%20STX(v1%200)%20&#1080;&#1102;&#1083;&#1100;%202022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2\&#1076;&#1086;%2020%20&#1077;&#1078;&#1077;&#1084;&#1077;&#1089;.%2046%20&#1092;&#1086;&#1088;&#1084;&#1072;\2022\46EP%20STX(v1%200)%20&#1072;&#1074;&#1075;&#1091;&#1089;&#1090;%202022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3\&#1076;&#1086;%2020%20&#1077;&#1078;&#1077;&#1084;&#1077;&#1089;.%2046%20&#1092;&#1086;&#1088;&#1084;&#1072;\2022\46EP%20STX(v1%200)%20&#1085;&#1086;&#1103;&#1073;&#1088;&#1100;%2020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Кривнева Е.В.</v>
          </cell>
        </row>
        <row r="45">
          <cell r="G45" t="str">
            <v>ведущий 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Кривнева Е.В.</v>
          </cell>
        </row>
        <row r="45">
          <cell r="G45" t="str">
            <v>ведущий 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Кривнева Е.В.</v>
          </cell>
        </row>
        <row r="45">
          <cell r="G45" t="str">
            <v>ведущий 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Кривнева Е.В.</v>
          </cell>
        </row>
        <row r="45">
          <cell r="G45" t="str">
            <v>ведущий 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Кривнева Е.В.</v>
          </cell>
        </row>
        <row r="45">
          <cell r="G45" t="str">
            <v>ведущий 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 refreshError="1">
        <row r="44">
          <cell r="G44" t="str">
            <v>Кривнева Е.В.</v>
          </cell>
        </row>
        <row r="45">
          <cell r="G45" t="str">
            <v>ведущий 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Кривнева Е.В.</v>
          </cell>
        </row>
        <row r="45">
          <cell r="G45" t="str">
            <v>ведущий 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  <pageSetUpPr fitToPage="1"/>
  </sheetPr>
  <dimension ref="A1:E120"/>
  <sheetViews>
    <sheetView showGridLines="0" showRowColHeaders="0" topLeftCell="B1" zoomScaleNormal="100" workbookViewId="0"/>
  </sheetViews>
  <sheetFormatPr defaultRowHeight="11.25"/>
  <cols>
    <col min="1" max="1" width="21" style="20" hidden="1" customWidth="1"/>
    <col min="2" max="2" width="20.7109375" style="21" customWidth="1"/>
    <col min="3" max="3" width="90.7109375" style="20" customWidth="1"/>
    <col min="4" max="4" width="20.7109375" style="22" customWidth="1"/>
    <col min="5" max="16384" width="9.140625" style="17"/>
  </cols>
  <sheetData>
    <row r="1" spans="1:5">
      <c r="A1" s="13"/>
      <c r="B1" s="14"/>
      <c r="C1" s="15"/>
      <c r="D1" s="16"/>
    </row>
    <row r="2" spans="1:5" ht="19.5">
      <c r="A2" s="18" t="s">
        <v>361</v>
      </c>
      <c r="B2" s="28" t="s">
        <v>3</v>
      </c>
      <c r="C2" s="29" t="s">
        <v>4</v>
      </c>
      <c r="D2" s="30" t="s">
        <v>5</v>
      </c>
      <c r="E2" s="19"/>
    </row>
    <row r="3" spans="1:5">
      <c r="B3" s="120">
        <v>43367.44767361111</v>
      </c>
      <c r="C3" s="20" t="s">
        <v>525</v>
      </c>
      <c r="D3" s="22" t="s">
        <v>526</v>
      </c>
    </row>
    <row r="4" spans="1:5">
      <c r="B4" s="120">
        <v>43367.447696759256</v>
      </c>
      <c r="C4" s="20" t="s">
        <v>529</v>
      </c>
      <c r="D4" s="22" t="s">
        <v>526</v>
      </c>
    </row>
    <row r="5" spans="1:5">
      <c r="B5" s="120">
        <v>43367.448020833333</v>
      </c>
      <c r="C5" s="20" t="s">
        <v>525</v>
      </c>
      <c r="D5" s="22" t="s">
        <v>526</v>
      </c>
    </row>
    <row r="6" spans="1:5">
      <c r="B6" s="120">
        <v>43367.44803240741</v>
      </c>
      <c r="C6" s="20" t="s">
        <v>529</v>
      </c>
      <c r="D6" s="22" t="s">
        <v>526</v>
      </c>
    </row>
    <row r="7" spans="1:5">
      <c r="B7" s="120">
        <v>43367.44835648148</v>
      </c>
      <c r="C7" s="20" t="s">
        <v>525</v>
      </c>
      <c r="D7" s="22" t="s">
        <v>526</v>
      </c>
    </row>
    <row r="8" spans="1:5">
      <c r="B8" s="120">
        <v>43367.448368055557</v>
      </c>
      <c r="C8" s="20" t="s">
        <v>529</v>
      </c>
      <c r="D8" s="22" t="s">
        <v>526</v>
      </c>
    </row>
    <row r="9" spans="1:5">
      <c r="B9" s="120">
        <v>43367.570138888892</v>
      </c>
      <c r="C9" s="20" t="s">
        <v>525</v>
      </c>
      <c r="D9" s="22" t="s">
        <v>526</v>
      </c>
    </row>
    <row r="10" spans="1:5">
      <c r="B10" s="120">
        <v>43367.570162037038</v>
      </c>
      <c r="C10" s="20" t="s">
        <v>529</v>
      </c>
      <c r="D10" s="22" t="s">
        <v>526</v>
      </c>
    </row>
    <row r="11" spans="1:5">
      <c r="B11" s="120">
        <v>43385.632430555554</v>
      </c>
      <c r="C11" s="20" t="s">
        <v>525</v>
      </c>
      <c r="D11" s="22" t="s">
        <v>526</v>
      </c>
    </row>
    <row r="12" spans="1:5">
      <c r="B12" s="120">
        <v>43385.632453703707</v>
      </c>
      <c r="C12" s="20" t="s">
        <v>529</v>
      </c>
      <c r="D12" s="22" t="s">
        <v>526</v>
      </c>
    </row>
    <row r="13" spans="1:5">
      <c r="B13" s="120">
        <v>43416.386296296296</v>
      </c>
      <c r="C13" s="20" t="s">
        <v>525</v>
      </c>
      <c r="D13" s="22" t="s">
        <v>526</v>
      </c>
    </row>
    <row r="14" spans="1:5">
      <c r="B14" s="120">
        <v>43416.386319444442</v>
      </c>
      <c r="C14" s="20" t="s">
        <v>529</v>
      </c>
      <c r="D14" s="22" t="s">
        <v>526</v>
      </c>
    </row>
    <row r="15" spans="1:5">
      <c r="B15" s="120">
        <v>43445.395324074074</v>
      </c>
      <c r="C15" s="20" t="s">
        <v>525</v>
      </c>
      <c r="D15" s="22" t="s">
        <v>526</v>
      </c>
    </row>
    <row r="16" spans="1:5">
      <c r="B16" s="120">
        <v>43445.395335648151</v>
      </c>
      <c r="C16" s="20" t="s">
        <v>529</v>
      </c>
      <c r="D16" s="22" t="s">
        <v>526</v>
      </c>
    </row>
    <row r="17" spans="2:4">
      <c r="B17" s="120">
        <v>43482.409131944441</v>
      </c>
      <c r="C17" s="20" t="s">
        <v>525</v>
      </c>
      <c r="D17" s="22" t="s">
        <v>526</v>
      </c>
    </row>
    <row r="18" spans="2:4">
      <c r="B18" s="120">
        <v>43482.409166666665</v>
      </c>
      <c r="C18" s="20" t="s">
        <v>529</v>
      </c>
      <c r="D18" s="22" t="s">
        <v>526</v>
      </c>
    </row>
    <row r="19" spans="2:4">
      <c r="B19" s="120">
        <v>43514.471446759257</v>
      </c>
      <c r="C19" s="20" t="s">
        <v>525</v>
      </c>
      <c r="D19" s="22" t="s">
        <v>526</v>
      </c>
    </row>
    <row r="20" spans="2:4">
      <c r="B20" s="120">
        <v>43514.47148148148</v>
      </c>
      <c r="C20" s="20" t="s">
        <v>529</v>
      </c>
      <c r="D20" s="22" t="s">
        <v>526</v>
      </c>
    </row>
    <row r="21" spans="2:4">
      <c r="B21" s="120">
        <v>43662.388738425929</v>
      </c>
      <c r="C21" s="20" t="s">
        <v>525</v>
      </c>
      <c r="D21" s="22" t="s">
        <v>526</v>
      </c>
    </row>
    <row r="22" spans="2:4">
      <c r="B22" s="120">
        <v>43662.388749999998</v>
      </c>
      <c r="C22" s="20" t="s">
        <v>529</v>
      </c>
      <c r="D22" s="22" t="s">
        <v>526</v>
      </c>
    </row>
    <row r="23" spans="2:4">
      <c r="B23" s="120">
        <v>43698.580462962964</v>
      </c>
      <c r="C23" s="20" t="s">
        <v>525</v>
      </c>
      <c r="D23" s="22" t="s">
        <v>526</v>
      </c>
    </row>
    <row r="24" spans="2:4">
      <c r="B24" s="120">
        <v>43698.580497685187</v>
      </c>
      <c r="C24" s="20" t="s">
        <v>529</v>
      </c>
      <c r="D24" s="22" t="s">
        <v>526</v>
      </c>
    </row>
    <row r="25" spans="2:4">
      <c r="B25" s="120">
        <v>43727.629918981482</v>
      </c>
      <c r="C25" s="20" t="s">
        <v>525</v>
      </c>
      <c r="D25" s="22" t="s">
        <v>526</v>
      </c>
    </row>
    <row r="26" spans="2:4">
      <c r="B26" s="120">
        <v>43727.629965277774</v>
      </c>
      <c r="C26" s="20" t="s">
        <v>529</v>
      </c>
      <c r="D26" s="22" t="s">
        <v>526</v>
      </c>
    </row>
    <row r="27" spans="2:4">
      <c r="B27" s="120">
        <v>43759.433275462965</v>
      </c>
      <c r="C27" s="20" t="s">
        <v>525</v>
      </c>
      <c r="D27" s="22" t="s">
        <v>526</v>
      </c>
    </row>
    <row r="28" spans="2:4">
      <c r="B28" s="120">
        <v>43759.433298611111</v>
      </c>
      <c r="C28" s="20" t="s">
        <v>529</v>
      </c>
      <c r="D28" s="22" t="s">
        <v>526</v>
      </c>
    </row>
    <row r="29" spans="2:4">
      <c r="B29" s="120">
        <v>43787.437951388885</v>
      </c>
      <c r="C29" s="20" t="s">
        <v>525</v>
      </c>
      <c r="D29" s="22" t="s">
        <v>526</v>
      </c>
    </row>
    <row r="30" spans="2:4">
      <c r="B30" s="120">
        <v>43787.437974537039</v>
      </c>
      <c r="C30" s="20" t="s">
        <v>529</v>
      </c>
      <c r="D30" s="22" t="s">
        <v>526</v>
      </c>
    </row>
    <row r="31" spans="2:4">
      <c r="B31" s="120">
        <v>43787.442847222221</v>
      </c>
      <c r="C31" s="20" t="s">
        <v>525</v>
      </c>
      <c r="D31" s="22" t="s">
        <v>526</v>
      </c>
    </row>
    <row r="32" spans="2:4">
      <c r="B32" s="120">
        <v>43787.442858796298</v>
      </c>
      <c r="C32" s="20" t="s">
        <v>529</v>
      </c>
      <c r="D32" s="22" t="s">
        <v>526</v>
      </c>
    </row>
    <row r="33" spans="2:4">
      <c r="B33" s="120">
        <v>43815.566493055558</v>
      </c>
      <c r="C33" s="20" t="s">
        <v>525</v>
      </c>
      <c r="D33" s="22" t="s">
        <v>526</v>
      </c>
    </row>
    <row r="34" spans="2:4">
      <c r="B34" s="120">
        <v>43815.566516203704</v>
      </c>
      <c r="C34" s="20" t="s">
        <v>529</v>
      </c>
      <c r="D34" s="22" t="s">
        <v>526</v>
      </c>
    </row>
    <row r="35" spans="2:4">
      <c r="B35" s="120">
        <v>43844.701631944445</v>
      </c>
      <c r="C35" s="20" t="s">
        <v>525</v>
      </c>
      <c r="D35" s="22" t="s">
        <v>526</v>
      </c>
    </row>
    <row r="36" spans="2:4">
      <c r="B36" s="120">
        <v>43844.701643518521</v>
      </c>
      <c r="C36" s="20" t="s">
        <v>529</v>
      </c>
      <c r="D36" s="22" t="s">
        <v>526</v>
      </c>
    </row>
    <row r="37" spans="2:4">
      <c r="B37" s="120">
        <v>43846.379594907405</v>
      </c>
      <c r="C37" s="20" t="s">
        <v>525</v>
      </c>
      <c r="D37" s="22" t="s">
        <v>526</v>
      </c>
    </row>
    <row r="38" spans="2:4">
      <c r="B38" s="120">
        <v>43846.379606481481</v>
      </c>
      <c r="C38" s="20" t="s">
        <v>529</v>
      </c>
      <c r="D38" s="22" t="s">
        <v>526</v>
      </c>
    </row>
    <row r="39" spans="2:4">
      <c r="B39" s="120">
        <v>43878.455428240741</v>
      </c>
      <c r="C39" s="20" t="s">
        <v>525</v>
      </c>
      <c r="D39" s="22" t="s">
        <v>526</v>
      </c>
    </row>
    <row r="40" spans="2:4">
      <c r="B40" s="120">
        <v>43878.455439814818</v>
      </c>
      <c r="C40" s="20" t="s">
        <v>529</v>
      </c>
      <c r="D40" s="22" t="s">
        <v>526</v>
      </c>
    </row>
    <row r="41" spans="2:4">
      <c r="B41" s="120">
        <v>43880.642511574071</v>
      </c>
      <c r="C41" s="20" t="s">
        <v>525</v>
      </c>
      <c r="D41" s="22" t="s">
        <v>526</v>
      </c>
    </row>
    <row r="42" spans="2:4">
      <c r="B42" s="120">
        <v>43880.642534722225</v>
      </c>
      <c r="C42" s="20" t="s">
        <v>529</v>
      </c>
      <c r="D42" s="22" t="s">
        <v>526</v>
      </c>
    </row>
    <row r="43" spans="2:4">
      <c r="B43" s="120">
        <v>43880.676898148151</v>
      </c>
      <c r="C43" s="20" t="s">
        <v>525</v>
      </c>
      <c r="D43" s="22" t="s">
        <v>526</v>
      </c>
    </row>
    <row r="44" spans="2:4">
      <c r="B44" s="120">
        <v>43880.67690972222</v>
      </c>
      <c r="C44" s="20" t="s">
        <v>529</v>
      </c>
      <c r="D44" s="22" t="s">
        <v>526</v>
      </c>
    </row>
    <row r="45" spans="2:4">
      <c r="B45" s="120">
        <v>43906.470335648148</v>
      </c>
      <c r="C45" s="20" t="s">
        <v>525</v>
      </c>
      <c r="D45" s="22" t="s">
        <v>526</v>
      </c>
    </row>
    <row r="46" spans="2:4">
      <c r="B46" s="120">
        <v>43906.470370370371</v>
      </c>
      <c r="C46" s="20" t="s">
        <v>529</v>
      </c>
      <c r="D46" s="22" t="s">
        <v>526</v>
      </c>
    </row>
    <row r="47" spans="2:4">
      <c r="B47" s="120">
        <v>43914.482719907406</v>
      </c>
      <c r="C47" s="20" t="s">
        <v>525</v>
      </c>
      <c r="D47" s="22" t="s">
        <v>526</v>
      </c>
    </row>
    <row r="48" spans="2:4">
      <c r="B48" s="120">
        <v>43914.482743055552</v>
      </c>
      <c r="C48" s="20" t="s">
        <v>529</v>
      </c>
      <c r="D48" s="22" t="s">
        <v>526</v>
      </c>
    </row>
    <row r="49" spans="2:4">
      <c r="B49" s="120">
        <v>43914.669965277775</v>
      </c>
      <c r="C49" s="20" t="s">
        <v>525</v>
      </c>
      <c r="D49" s="22" t="s">
        <v>526</v>
      </c>
    </row>
    <row r="50" spans="2:4">
      <c r="B50" s="120">
        <v>43914.669988425929</v>
      </c>
      <c r="C50" s="20" t="s">
        <v>529</v>
      </c>
      <c r="D50" s="22" t="s">
        <v>526</v>
      </c>
    </row>
    <row r="51" spans="2:4">
      <c r="B51" s="120">
        <v>43941.520902777775</v>
      </c>
      <c r="C51" s="20" t="s">
        <v>525</v>
      </c>
      <c r="D51" s="22" t="s">
        <v>526</v>
      </c>
    </row>
    <row r="52" spans="2:4">
      <c r="B52" s="120">
        <v>43941.589270833334</v>
      </c>
      <c r="C52" s="20" t="s">
        <v>525</v>
      </c>
      <c r="D52" s="22" t="s">
        <v>526</v>
      </c>
    </row>
    <row r="53" spans="2:4">
      <c r="B53" s="120">
        <v>43941.589305555557</v>
      </c>
      <c r="C53" s="20" t="s">
        <v>529</v>
      </c>
      <c r="D53" s="22" t="s">
        <v>526</v>
      </c>
    </row>
    <row r="54" spans="2:4">
      <c r="B54" s="120">
        <v>43941.616597222222</v>
      </c>
      <c r="C54" s="20" t="s">
        <v>525</v>
      </c>
      <c r="D54" s="22" t="s">
        <v>526</v>
      </c>
    </row>
    <row r="55" spans="2:4">
      <c r="B55" s="120">
        <v>43941.616631944446</v>
      </c>
      <c r="C55" s="20" t="s">
        <v>529</v>
      </c>
      <c r="D55" s="22" t="s">
        <v>526</v>
      </c>
    </row>
    <row r="56" spans="2:4">
      <c r="B56" s="120">
        <v>43969.458969907406</v>
      </c>
      <c r="C56" s="20" t="s">
        <v>525</v>
      </c>
      <c r="D56" s="22" t="s">
        <v>526</v>
      </c>
    </row>
    <row r="57" spans="2:4">
      <c r="B57" s="120">
        <v>43969.458993055552</v>
      </c>
      <c r="C57" s="20" t="s">
        <v>529</v>
      </c>
      <c r="D57" s="22" t="s">
        <v>526</v>
      </c>
    </row>
    <row r="58" spans="2:4">
      <c r="B58" s="120">
        <v>43970.34097222222</v>
      </c>
      <c r="C58" s="20" t="s">
        <v>525</v>
      </c>
      <c r="D58" s="22" t="s">
        <v>526</v>
      </c>
    </row>
    <row r="59" spans="2:4">
      <c r="B59" s="120">
        <v>43970.340995370374</v>
      </c>
      <c r="C59" s="20" t="s">
        <v>529</v>
      </c>
      <c r="D59" s="22" t="s">
        <v>526</v>
      </c>
    </row>
    <row r="60" spans="2:4">
      <c r="B60" s="120">
        <v>43970.390509259261</v>
      </c>
      <c r="C60" s="20" t="s">
        <v>525</v>
      </c>
      <c r="D60" s="22" t="s">
        <v>526</v>
      </c>
    </row>
    <row r="61" spans="2:4">
      <c r="B61" s="120">
        <v>43970.390543981484</v>
      </c>
      <c r="C61" s="20" t="s">
        <v>529</v>
      </c>
      <c r="D61" s="22" t="s">
        <v>526</v>
      </c>
    </row>
    <row r="62" spans="2:4">
      <c r="B62" s="120">
        <v>44028.363703703704</v>
      </c>
      <c r="C62" s="20" t="s">
        <v>525</v>
      </c>
      <c r="D62" s="22" t="s">
        <v>526</v>
      </c>
    </row>
    <row r="63" spans="2:4">
      <c r="B63" s="120">
        <v>44028.363738425927</v>
      </c>
      <c r="C63" s="20" t="s">
        <v>529</v>
      </c>
      <c r="D63" s="22" t="s">
        <v>526</v>
      </c>
    </row>
    <row r="64" spans="2:4">
      <c r="B64" s="120">
        <v>44028.464143518519</v>
      </c>
      <c r="C64" s="20" t="s">
        <v>525</v>
      </c>
      <c r="D64" s="22" t="s">
        <v>526</v>
      </c>
    </row>
    <row r="65" spans="2:4">
      <c r="B65" s="120">
        <v>44028.464155092595</v>
      </c>
      <c r="C65" s="20" t="s">
        <v>529</v>
      </c>
      <c r="D65" s="22" t="s">
        <v>526</v>
      </c>
    </row>
    <row r="66" spans="2:4">
      <c r="B66" s="120">
        <v>44028.46465277778</v>
      </c>
      <c r="C66" s="20" t="s">
        <v>525</v>
      </c>
      <c r="D66" s="22" t="s">
        <v>526</v>
      </c>
    </row>
    <row r="67" spans="2:4">
      <c r="B67" s="120">
        <v>44028.46466435185</v>
      </c>
      <c r="C67" s="20" t="s">
        <v>529</v>
      </c>
      <c r="D67" s="22" t="s">
        <v>526</v>
      </c>
    </row>
    <row r="68" spans="2:4">
      <c r="B68" s="120">
        <v>44028.658587962964</v>
      </c>
      <c r="C68" s="20" t="s">
        <v>525</v>
      </c>
      <c r="D68" s="22" t="s">
        <v>526</v>
      </c>
    </row>
    <row r="69" spans="2:4">
      <c r="B69" s="120">
        <v>44028.65861111111</v>
      </c>
      <c r="C69" s="20" t="s">
        <v>529</v>
      </c>
      <c r="D69" s="22" t="s">
        <v>526</v>
      </c>
    </row>
    <row r="70" spans="2:4">
      <c r="B70" s="120">
        <v>44056.455266203702</v>
      </c>
      <c r="C70" s="20" t="s">
        <v>525</v>
      </c>
      <c r="D70" s="22" t="s">
        <v>526</v>
      </c>
    </row>
    <row r="71" spans="2:4">
      <c r="B71" s="120">
        <v>44056.455277777779</v>
      </c>
      <c r="C71" s="20" t="s">
        <v>529</v>
      </c>
      <c r="D71" s="22" t="s">
        <v>526</v>
      </c>
    </row>
    <row r="72" spans="2:4">
      <c r="B72" s="120">
        <v>44088.485937500001</v>
      </c>
      <c r="C72" s="20" t="s">
        <v>525</v>
      </c>
      <c r="D72" s="22" t="s">
        <v>526</v>
      </c>
    </row>
    <row r="73" spans="2:4">
      <c r="B73" s="120">
        <v>44088.485960648148</v>
      </c>
      <c r="C73" s="20" t="s">
        <v>529</v>
      </c>
      <c r="D73" s="22" t="s">
        <v>526</v>
      </c>
    </row>
    <row r="74" spans="2:4">
      <c r="B74" s="120">
        <v>44088.493923611109</v>
      </c>
      <c r="C74" s="20" t="s">
        <v>525</v>
      </c>
      <c r="D74" s="22" t="s">
        <v>526</v>
      </c>
    </row>
    <row r="75" spans="2:4">
      <c r="B75" s="120">
        <v>44088.493935185186</v>
      </c>
      <c r="C75" s="20" t="s">
        <v>529</v>
      </c>
      <c r="D75" s="22" t="s">
        <v>526</v>
      </c>
    </row>
    <row r="76" spans="2:4">
      <c r="B76" s="120">
        <v>44116.601643518516</v>
      </c>
      <c r="C76" s="20" t="s">
        <v>525</v>
      </c>
      <c r="D76" s="22" t="s">
        <v>526</v>
      </c>
    </row>
    <row r="77" spans="2:4">
      <c r="B77" s="120">
        <v>44116.601666666669</v>
      </c>
      <c r="C77" s="20" t="s">
        <v>529</v>
      </c>
      <c r="D77" s="22" t="s">
        <v>526</v>
      </c>
    </row>
    <row r="78" spans="2:4">
      <c r="B78" s="120">
        <v>44147.516331018516</v>
      </c>
      <c r="C78" s="20" t="s">
        <v>525</v>
      </c>
      <c r="D78" s="22" t="s">
        <v>526</v>
      </c>
    </row>
    <row r="79" spans="2:4">
      <c r="B79" s="120">
        <v>44147.516365740739</v>
      </c>
      <c r="C79" s="20" t="s">
        <v>529</v>
      </c>
      <c r="D79" s="22" t="s">
        <v>526</v>
      </c>
    </row>
    <row r="80" spans="2:4">
      <c r="B80" s="120">
        <v>44179.553344907406</v>
      </c>
      <c r="C80" s="20" t="s">
        <v>525</v>
      </c>
      <c r="D80" s="22" t="s">
        <v>526</v>
      </c>
    </row>
    <row r="81" spans="2:4">
      <c r="B81" s="120">
        <v>44179.553356481483</v>
      </c>
      <c r="C81" s="20" t="s">
        <v>529</v>
      </c>
      <c r="D81" s="22" t="s">
        <v>526</v>
      </c>
    </row>
    <row r="82" spans="2:4">
      <c r="B82" s="120">
        <v>44215.416875000003</v>
      </c>
      <c r="C82" s="20" t="s">
        <v>525</v>
      </c>
      <c r="D82" s="22" t="s">
        <v>526</v>
      </c>
    </row>
    <row r="83" spans="2:4">
      <c r="B83" s="120">
        <v>44215.416921296295</v>
      </c>
      <c r="C83" s="20" t="s">
        <v>529</v>
      </c>
      <c r="D83" s="22" t="s">
        <v>526</v>
      </c>
    </row>
    <row r="84" spans="2:4">
      <c r="B84" s="120">
        <v>44242.583136574074</v>
      </c>
      <c r="C84" s="20" t="s">
        <v>525</v>
      </c>
      <c r="D84" s="22" t="s">
        <v>526</v>
      </c>
    </row>
    <row r="85" spans="2:4">
      <c r="B85" s="120">
        <v>44242.58315972222</v>
      </c>
      <c r="C85" s="20" t="s">
        <v>529</v>
      </c>
      <c r="D85" s="22" t="s">
        <v>526</v>
      </c>
    </row>
    <row r="86" spans="2:4">
      <c r="B86" s="120">
        <v>44271.462187500001</v>
      </c>
      <c r="C86" s="20" t="s">
        <v>525</v>
      </c>
      <c r="D86" s="22" t="s">
        <v>526</v>
      </c>
    </row>
    <row r="87" spans="2:4">
      <c r="B87" s="120">
        <v>44271.462210648147</v>
      </c>
      <c r="C87" s="20" t="s">
        <v>529</v>
      </c>
      <c r="D87" s="22" t="s">
        <v>526</v>
      </c>
    </row>
    <row r="88" spans="2:4">
      <c r="B88" s="120">
        <v>44302.438136574077</v>
      </c>
      <c r="C88" s="20" t="s">
        <v>525</v>
      </c>
      <c r="D88" s="22" t="s">
        <v>526</v>
      </c>
    </row>
    <row r="89" spans="2:4">
      <c r="B89" s="120">
        <v>44302.438148148147</v>
      </c>
      <c r="C89" s="20" t="s">
        <v>529</v>
      </c>
      <c r="D89" s="22" t="s">
        <v>526</v>
      </c>
    </row>
    <row r="90" spans="2:4">
      <c r="B90" s="120">
        <v>44315.355092592596</v>
      </c>
      <c r="C90" s="20" t="s">
        <v>525</v>
      </c>
      <c r="D90" s="22" t="s">
        <v>526</v>
      </c>
    </row>
    <row r="91" spans="2:4">
      <c r="B91" s="120">
        <v>44315.355115740742</v>
      </c>
      <c r="C91" s="20" t="s">
        <v>529</v>
      </c>
      <c r="D91" s="22" t="s">
        <v>526</v>
      </c>
    </row>
    <row r="92" spans="2:4">
      <c r="B92" s="120">
        <v>44333.457372685189</v>
      </c>
      <c r="C92" s="20" t="s">
        <v>525</v>
      </c>
      <c r="D92" s="22" t="s">
        <v>526</v>
      </c>
    </row>
    <row r="93" spans="2:4">
      <c r="B93" s="120">
        <v>44449.591666666667</v>
      </c>
      <c r="C93" s="20" t="s">
        <v>525</v>
      </c>
      <c r="D93" s="22" t="s">
        <v>526</v>
      </c>
    </row>
    <row r="94" spans="2:4">
      <c r="B94" s="120">
        <v>44449.591689814813</v>
      </c>
      <c r="C94" s="20" t="s">
        <v>529</v>
      </c>
      <c r="D94" s="22" t="s">
        <v>526</v>
      </c>
    </row>
    <row r="95" spans="2:4">
      <c r="B95" s="120">
        <v>44480.669618055559</v>
      </c>
      <c r="C95" s="20" t="s">
        <v>525</v>
      </c>
      <c r="D95" s="22" t="s">
        <v>526</v>
      </c>
    </row>
    <row r="96" spans="2:4">
      <c r="B96" s="120">
        <v>44480.669675925928</v>
      </c>
      <c r="C96" s="20" t="s">
        <v>529</v>
      </c>
      <c r="D96" s="22" t="s">
        <v>526</v>
      </c>
    </row>
    <row r="97" spans="2:4">
      <c r="B97" s="120">
        <v>44481.375879629632</v>
      </c>
      <c r="C97" s="20" t="s">
        <v>525</v>
      </c>
      <c r="D97" s="22" t="s">
        <v>526</v>
      </c>
    </row>
    <row r="98" spans="2:4">
      <c r="B98" s="120">
        <v>44481.375891203701</v>
      </c>
      <c r="C98" s="20" t="s">
        <v>529</v>
      </c>
      <c r="D98" s="22" t="s">
        <v>526</v>
      </c>
    </row>
    <row r="99" spans="2:4">
      <c r="B99" s="120">
        <v>44481.396504629629</v>
      </c>
      <c r="C99" s="20" t="s">
        <v>525</v>
      </c>
      <c r="D99" s="22" t="s">
        <v>526</v>
      </c>
    </row>
    <row r="100" spans="2:4">
      <c r="B100" s="120">
        <v>44481.396527777775</v>
      </c>
      <c r="C100" s="20" t="s">
        <v>529</v>
      </c>
      <c r="D100" s="22" t="s">
        <v>526</v>
      </c>
    </row>
    <row r="101" spans="2:4">
      <c r="B101" s="120">
        <v>44481.421030092592</v>
      </c>
      <c r="C101" s="20" t="s">
        <v>525</v>
      </c>
      <c r="D101" s="22" t="s">
        <v>526</v>
      </c>
    </row>
    <row r="102" spans="2:4">
      <c r="B102" s="120">
        <v>44481.421053240738</v>
      </c>
      <c r="C102" s="20" t="s">
        <v>529</v>
      </c>
      <c r="D102" s="22" t="s">
        <v>526</v>
      </c>
    </row>
    <row r="103" spans="2:4">
      <c r="B103" s="120">
        <v>44481.432650462964</v>
      </c>
      <c r="C103" s="20" t="s">
        <v>525</v>
      </c>
      <c r="D103" s="22" t="s">
        <v>526</v>
      </c>
    </row>
    <row r="104" spans="2:4">
      <c r="B104" s="120">
        <v>44481.432662037034</v>
      </c>
      <c r="C104" s="20" t="s">
        <v>529</v>
      </c>
      <c r="D104" s="22" t="s">
        <v>526</v>
      </c>
    </row>
    <row r="105" spans="2:4">
      <c r="B105" s="120">
        <v>44512.435011574074</v>
      </c>
      <c r="C105" s="20" t="s">
        <v>525</v>
      </c>
      <c r="D105" s="22" t="s">
        <v>526</v>
      </c>
    </row>
    <row r="106" spans="2:4">
      <c r="B106" s="120">
        <v>44512.435034722221</v>
      </c>
      <c r="C106" s="20" t="s">
        <v>529</v>
      </c>
      <c r="D106" s="22" t="s">
        <v>526</v>
      </c>
    </row>
    <row r="107" spans="2:4">
      <c r="B107" s="120">
        <v>44544.39980324074</v>
      </c>
      <c r="C107" s="20" t="s">
        <v>525</v>
      </c>
      <c r="D107" s="22" t="s">
        <v>526</v>
      </c>
    </row>
    <row r="108" spans="2:4">
      <c r="B108" s="120">
        <v>44544.399826388886</v>
      </c>
      <c r="C108" s="20" t="s">
        <v>529</v>
      </c>
      <c r="D108" s="22" t="s">
        <v>526</v>
      </c>
    </row>
    <row r="109" spans="2:4">
      <c r="B109" s="120">
        <v>44547.588287037041</v>
      </c>
      <c r="C109" s="20" t="s">
        <v>525</v>
      </c>
      <c r="D109" s="22" t="s">
        <v>526</v>
      </c>
    </row>
    <row r="110" spans="2:4">
      <c r="B110" s="120">
        <v>44547.588310185187</v>
      </c>
      <c r="C110" s="20" t="s">
        <v>529</v>
      </c>
      <c r="D110" s="22" t="s">
        <v>526</v>
      </c>
    </row>
    <row r="111" spans="2:4">
      <c r="B111" s="120">
        <v>44575.643483796295</v>
      </c>
      <c r="C111" s="20" t="s">
        <v>525</v>
      </c>
      <c r="D111" s="22" t="s">
        <v>526</v>
      </c>
    </row>
    <row r="112" spans="2:4">
      <c r="B112" s="120">
        <v>44575.643506944441</v>
      </c>
      <c r="C112" s="20" t="s">
        <v>529</v>
      </c>
      <c r="D112" s="22" t="s">
        <v>526</v>
      </c>
    </row>
    <row r="113" spans="2:4">
      <c r="B113" s="120">
        <v>44579.410567129627</v>
      </c>
      <c r="C113" s="20" t="s">
        <v>525</v>
      </c>
      <c r="D113" s="22" t="s">
        <v>526</v>
      </c>
    </row>
    <row r="114" spans="2:4">
      <c r="B114" s="120">
        <v>44579.410590277781</v>
      </c>
      <c r="C114" s="20" t="s">
        <v>529</v>
      </c>
      <c r="D114" s="22" t="s">
        <v>526</v>
      </c>
    </row>
    <row r="115" spans="2:4">
      <c r="B115" s="120">
        <v>44579.411412037036</v>
      </c>
      <c r="C115" s="20" t="s">
        <v>525</v>
      </c>
      <c r="D115" s="22" t="s">
        <v>526</v>
      </c>
    </row>
    <row r="116" spans="2:4">
      <c r="B116" s="120">
        <v>44579.411435185182</v>
      </c>
      <c r="C116" s="20" t="s">
        <v>529</v>
      </c>
      <c r="D116" s="22" t="s">
        <v>526</v>
      </c>
    </row>
    <row r="117" spans="2:4">
      <c r="B117" s="120">
        <v>44607.603506944448</v>
      </c>
      <c r="C117" s="20" t="s">
        <v>525</v>
      </c>
      <c r="D117" s="22" t="s">
        <v>526</v>
      </c>
    </row>
    <row r="118" spans="2:4">
      <c r="B118" s="120">
        <v>44607.603518518517</v>
      </c>
      <c r="C118" s="20" t="s">
        <v>529</v>
      </c>
      <c r="D118" s="22" t="s">
        <v>526</v>
      </c>
    </row>
    <row r="119" spans="2:4">
      <c r="B119" s="120">
        <v>44748.371539351851</v>
      </c>
      <c r="C119" s="20" t="s">
        <v>525</v>
      </c>
      <c r="D119" s="22" t="s">
        <v>526</v>
      </c>
    </row>
    <row r="120" spans="2:4">
      <c r="B120" s="120">
        <v>44748.371550925927</v>
      </c>
      <c r="C120" s="20" t="s">
        <v>529</v>
      </c>
      <c r="D120" s="22" t="s">
        <v>526</v>
      </c>
    </row>
  </sheetData>
  <sheetProtection password="9154" sheet="1" objects="1" scenarios="1" formatColumns="0" formatRows="0" autoFilter="0"/>
  <phoneticPr fontId="6" type="noConversion"/>
  <pageMargins left="0.75" right="0.75" top="1" bottom="1" header="0.5" footer="0.5"/>
  <pageSetup paperSize="9" scale="65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Prov">
    <tabColor indexed="47"/>
  </sheetPr>
  <dimension ref="A1"/>
  <sheetViews>
    <sheetView showGridLines="0" workbookViewId="0">
      <selection activeCell="I41" sqref="I41"/>
    </sheetView>
  </sheetViews>
  <sheetFormatPr defaultRowHeight="11.25"/>
  <cols>
    <col min="1" max="16384" width="9.140625" style="62"/>
  </cols>
  <sheetData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Button">
    <tabColor indexed="47"/>
  </sheetPr>
  <dimension ref="B1:E38"/>
  <sheetViews>
    <sheetView showGridLines="0" workbookViewId="0">
      <selection sqref="A1:IV21"/>
    </sheetView>
  </sheetViews>
  <sheetFormatPr defaultRowHeight="11.25"/>
  <sheetData>
    <row r="1" spans="2:3" ht="52.5" customHeight="1">
      <c r="B1" s="11"/>
      <c r="C1" s="11"/>
    </row>
    <row r="33" spans="4:5" ht="15.75">
      <c r="D33" s="9"/>
    </row>
    <row r="38" spans="4:5" ht="15.75">
      <c r="E38" s="9"/>
    </row>
  </sheetData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zoomScaleNormal="100" workbookViewId="0">
      <selection activeCell="D53" sqref="D53"/>
    </sheetView>
  </sheetViews>
  <sheetFormatPr defaultRowHeight="11.25"/>
  <cols>
    <col min="1" max="16384" width="9.140625" style="59"/>
  </cols>
  <sheetData/>
  <sheetProtection formatColumns="0" formatRows="0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indexed="47"/>
  </sheetPr>
  <dimension ref="A1"/>
  <sheetViews>
    <sheetView showGridLines="0" workbookViewId="0">
      <selection activeCell="D53" sqref="D53"/>
    </sheetView>
  </sheetViews>
  <sheetFormatPr defaultRowHeight="11.25"/>
  <cols>
    <col min="1" max="16384" width="9.140625" style="60"/>
  </cols>
  <sheetData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S177"/>
  <sheetViews>
    <sheetView showGridLines="0" workbookViewId="0">
      <selection activeCell="I18" sqref="I18"/>
    </sheetView>
  </sheetViews>
  <sheetFormatPr defaultRowHeight="11.25"/>
  <cols>
    <col min="1" max="1" width="9.140625" style="1"/>
    <col min="2" max="2" width="22.7109375" style="1" bestFit="1" customWidth="1"/>
    <col min="3" max="16384" width="9.140625" style="1"/>
  </cols>
  <sheetData>
    <row r="1" spans="1:19">
      <c r="B1" s="1" t="s">
        <v>1403</v>
      </c>
      <c r="C1" s="1" t="s">
        <v>1404</v>
      </c>
      <c r="D1" s="1" t="s">
        <v>108</v>
      </c>
      <c r="E1" s="1" t="s">
        <v>1405</v>
      </c>
      <c r="F1" s="1" t="s">
        <v>109</v>
      </c>
      <c r="G1" s="1" t="s">
        <v>110</v>
      </c>
      <c r="H1" s="1" t="s">
        <v>104</v>
      </c>
      <c r="I1" s="1" t="s">
        <v>105</v>
      </c>
      <c r="J1" s="1" t="s">
        <v>106</v>
      </c>
      <c r="K1" s="1" t="s">
        <v>107</v>
      </c>
      <c r="L1" s="1" t="s">
        <v>1406</v>
      </c>
      <c r="M1" s="1" t="s">
        <v>1407</v>
      </c>
      <c r="N1" s="1" t="s">
        <v>1408</v>
      </c>
      <c r="O1" s="1" t="s">
        <v>1409</v>
      </c>
      <c r="P1" s="1" t="s">
        <v>128</v>
      </c>
      <c r="Q1" s="1" t="s">
        <v>1410</v>
      </c>
      <c r="R1" s="1" t="s">
        <v>1411</v>
      </c>
      <c r="S1" s="1" t="s">
        <v>1908</v>
      </c>
    </row>
    <row r="2" spans="1:19">
      <c r="A2" s="1">
        <v>1</v>
      </c>
      <c r="B2" s="1" t="s">
        <v>1412</v>
      </c>
      <c r="C2" s="1" t="s">
        <v>40</v>
      </c>
      <c r="H2" s="1" t="s">
        <v>1416</v>
      </c>
      <c r="I2" s="1" t="s">
        <v>1417</v>
      </c>
      <c r="J2" s="1" t="s">
        <v>1418</v>
      </c>
      <c r="K2" s="1" t="s">
        <v>1419</v>
      </c>
      <c r="Q2" s="1" t="s">
        <v>1420</v>
      </c>
      <c r="R2" s="1" t="s">
        <v>1421</v>
      </c>
      <c r="S2" s="1" t="s">
        <v>1909</v>
      </c>
    </row>
    <row r="3" spans="1:19">
      <c r="A3" s="1">
        <v>2</v>
      </c>
      <c r="B3" s="1" t="s">
        <v>1412</v>
      </c>
      <c r="C3" s="1" t="s">
        <v>40</v>
      </c>
      <c r="H3" s="1" t="s">
        <v>2076</v>
      </c>
      <c r="I3" s="1" t="s">
        <v>2116</v>
      </c>
      <c r="J3" s="1" t="s">
        <v>2077</v>
      </c>
      <c r="K3" s="1" t="s">
        <v>2078</v>
      </c>
      <c r="Q3" s="1" t="s">
        <v>1420</v>
      </c>
      <c r="R3" s="1" t="s">
        <v>1421</v>
      </c>
      <c r="S3" s="1" t="s">
        <v>1909</v>
      </c>
    </row>
    <row r="4" spans="1:19">
      <c r="A4" s="1">
        <v>3</v>
      </c>
      <c r="B4" s="1" t="s">
        <v>1412</v>
      </c>
      <c r="C4" s="1" t="s">
        <v>40</v>
      </c>
      <c r="H4" s="1" t="s">
        <v>1422</v>
      </c>
      <c r="I4" s="1" t="s">
        <v>1423</v>
      </c>
      <c r="J4" s="1" t="s">
        <v>1424</v>
      </c>
      <c r="K4" s="1" t="s">
        <v>1910</v>
      </c>
      <c r="L4" s="1" t="s">
        <v>1425</v>
      </c>
      <c r="Q4" s="1" t="s">
        <v>1426</v>
      </c>
      <c r="R4" s="1" t="s">
        <v>1427</v>
      </c>
      <c r="S4" s="1" t="s">
        <v>1909</v>
      </c>
    </row>
    <row r="5" spans="1:19">
      <c r="A5" s="1">
        <v>4</v>
      </c>
      <c r="B5" s="1" t="s">
        <v>1412</v>
      </c>
      <c r="C5" s="1" t="s">
        <v>40</v>
      </c>
      <c r="H5" s="1" t="s">
        <v>1428</v>
      </c>
      <c r="I5" s="1" t="s">
        <v>1429</v>
      </c>
      <c r="J5" s="1" t="s">
        <v>1430</v>
      </c>
      <c r="K5" s="1" t="s">
        <v>1431</v>
      </c>
      <c r="Q5" s="1" t="s">
        <v>1432</v>
      </c>
      <c r="R5" s="1" t="s">
        <v>1433</v>
      </c>
      <c r="S5" s="1" t="s">
        <v>1909</v>
      </c>
    </row>
    <row r="6" spans="1:19">
      <c r="A6" s="1">
        <v>5</v>
      </c>
      <c r="B6" s="1" t="s">
        <v>1412</v>
      </c>
      <c r="C6" s="1" t="s">
        <v>40</v>
      </c>
      <c r="H6" s="1" t="s">
        <v>2079</v>
      </c>
      <c r="I6" s="1" t="s">
        <v>2080</v>
      </c>
      <c r="J6" s="1" t="s">
        <v>2081</v>
      </c>
      <c r="K6" s="1" t="s">
        <v>2082</v>
      </c>
      <c r="Q6" s="1" t="s">
        <v>1420</v>
      </c>
      <c r="R6" s="1" t="s">
        <v>1421</v>
      </c>
      <c r="S6" s="1" t="s">
        <v>1909</v>
      </c>
    </row>
    <row r="7" spans="1:19">
      <c r="A7" s="1">
        <v>6</v>
      </c>
      <c r="B7" s="1" t="s">
        <v>1412</v>
      </c>
      <c r="C7" s="1" t="s">
        <v>40</v>
      </c>
      <c r="H7" s="1" t="s">
        <v>1434</v>
      </c>
      <c r="I7" s="1" t="s">
        <v>1435</v>
      </c>
      <c r="J7" s="1" t="s">
        <v>1436</v>
      </c>
      <c r="K7" s="1" t="s">
        <v>1437</v>
      </c>
      <c r="Q7" s="1" t="s">
        <v>1432</v>
      </c>
      <c r="R7" s="1" t="s">
        <v>1433</v>
      </c>
      <c r="S7" s="1" t="s">
        <v>1909</v>
      </c>
    </row>
    <row r="8" spans="1:19">
      <c r="A8" s="1">
        <v>7</v>
      </c>
      <c r="B8" s="1" t="s">
        <v>1412</v>
      </c>
      <c r="C8" s="1" t="s">
        <v>40</v>
      </c>
      <c r="H8" s="1" t="s">
        <v>1538</v>
      </c>
      <c r="I8" s="1" t="s">
        <v>2118</v>
      </c>
      <c r="J8" s="1" t="s">
        <v>1539</v>
      </c>
      <c r="K8" s="1" t="s">
        <v>1548</v>
      </c>
      <c r="Q8" s="1" t="s">
        <v>1439</v>
      </c>
      <c r="R8" s="1" t="s">
        <v>1440</v>
      </c>
      <c r="S8" s="1" t="s">
        <v>1909</v>
      </c>
    </row>
    <row r="9" spans="1:19">
      <c r="A9" s="1">
        <v>8</v>
      </c>
      <c r="B9" s="1" t="s">
        <v>1412</v>
      </c>
      <c r="C9" s="1" t="s">
        <v>40</v>
      </c>
      <c r="H9" s="1" t="s">
        <v>1991</v>
      </c>
      <c r="I9" s="1" t="s">
        <v>1441</v>
      </c>
      <c r="J9" s="1" t="s">
        <v>1992</v>
      </c>
      <c r="K9" s="1" t="s">
        <v>1442</v>
      </c>
      <c r="Q9" s="1" t="s">
        <v>1426</v>
      </c>
      <c r="R9" s="1" t="s">
        <v>1427</v>
      </c>
      <c r="S9" s="1" t="s">
        <v>1909</v>
      </c>
    </row>
    <row r="10" spans="1:19">
      <c r="A10" s="1">
        <v>9</v>
      </c>
      <c r="B10" s="1" t="s">
        <v>1412</v>
      </c>
      <c r="C10" s="1" t="s">
        <v>40</v>
      </c>
      <c r="H10" s="1" t="s">
        <v>1911</v>
      </c>
      <c r="I10" s="1" t="s">
        <v>1912</v>
      </c>
      <c r="J10" s="1" t="s">
        <v>1913</v>
      </c>
      <c r="K10" s="1" t="s">
        <v>1914</v>
      </c>
      <c r="Q10" s="1" t="s">
        <v>1439</v>
      </c>
      <c r="R10" s="1" t="s">
        <v>1440</v>
      </c>
      <c r="S10" s="1" t="s">
        <v>1909</v>
      </c>
    </row>
    <row r="11" spans="1:19">
      <c r="A11" s="1">
        <v>10</v>
      </c>
      <c r="B11" s="1" t="s">
        <v>1412</v>
      </c>
      <c r="C11" s="1" t="s">
        <v>40</v>
      </c>
      <c r="H11" s="1" t="s">
        <v>1939</v>
      </c>
      <c r="I11" s="1" t="s">
        <v>1940</v>
      </c>
      <c r="J11" s="1" t="s">
        <v>1941</v>
      </c>
      <c r="K11" s="1" t="s">
        <v>1942</v>
      </c>
      <c r="Q11" s="1" t="s">
        <v>1420</v>
      </c>
      <c r="R11" s="1" t="s">
        <v>1421</v>
      </c>
      <c r="S11" s="1" t="s">
        <v>1909</v>
      </c>
    </row>
    <row r="12" spans="1:19">
      <c r="A12" s="1">
        <v>11</v>
      </c>
      <c r="B12" s="1" t="s">
        <v>1412</v>
      </c>
      <c r="C12" s="1" t="s">
        <v>40</v>
      </c>
      <c r="H12" s="1" t="s">
        <v>1443</v>
      </c>
      <c r="I12" s="1" t="s">
        <v>1444</v>
      </c>
      <c r="J12" s="1" t="s">
        <v>1445</v>
      </c>
      <c r="K12" s="1" t="s">
        <v>1446</v>
      </c>
      <c r="L12" s="1" t="s">
        <v>1447</v>
      </c>
      <c r="Q12" s="1" t="s">
        <v>1439</v>
      </c>
      <c r="R12" s="1" t="s">
        <v>1440</v>
      </c>
      <c r="S12" s="1" t="s">
        <v>1909</v>
      </c>
    </row>
    <row r="13" spans="1:19">
      <c r="A13" s="1">
        <v>12</v>
      </c>
      <c r="B13" s="1" t="s">
        <v>1412</v>
      </c>
      <c r="C13" s="1" t="s">
        <v>40</v>
      </c>
      <c r="H13" s="1" t="s">
        <v>1448</v>
      </c>
      <c r="I13" s="1" t="s">
        <v>1449</v>
      </c>
      <c r="J13" s="1" t="s">
        <v>1450</v>
      </c>
      <c r="K13" s="1" t="s">
        <v>1451</v>
      </c>
      <c r="Q13" s="1" t="s">
        <v>1439</v>
      </c>
      <c r="R13" s="1" t="s">
        <v>1440</v>
      </c>
      <c r="S13" s="1" t="s">
        <v>1909</v>
      </c>
    </row>
    <row r="14" spans="1:19">
      <c r="A14" s="1">
        <v>13</v>
      </c>
      <c r="B14" s="1" t="s">
        <v>1412</v>
      </c>
      <c r="C14" s="1" t="s">
        <v>40</v>
      </c>
      <c r="H14" s="1" t="s">
        <v>1452</v>
      </c>
      <c r="I14" s="1" t="s">
        <v>1453</v>
      </c>
      <c r="J14" s="1" t="s">
        <v>1454</v>
      </c>
      <c r="K14" s="1" t="s">
        <v>1455</v>
      </c>
      <c r="Q14" s="1" t="s">
        <v>1432</v>
      </c>
      <c r="R14" s="1" t="s">
        <v>1433</v>
      </c>
      <c r="S14" s="1" t="s">
        <v>1909</v>
      </c>
    </row>
    <row r="15" spans="1:19">
      <c r="A15" s="1">
        <v>14</v>
      </c>
      <c r="B15" s="1" t="s">
        <v>1412</v>
      </c>
      <c r="C15" s="1" t="s">
        <v>40</v>
      </c>
      <c r="H15" s="1" t="s">
        <v>1452</v>
      </c>
      <c r="I15" s="1" t="s">
        <v>1453</v>
      </c>
      <c r="J15" s="1" t="s">
        <v>1454</v>
      </c>
      <c r="K15" s="1" t="s">
        <v>1455</v>
      </c>
      <c r="Q15" s="1" t="s">
        <v>1426</v>
      </c>
      <c r="R15" s="1" t="s">
        <v>1427</v>
      </c>
      <c r="S15" s="1" t="s">
        <v>1909</v>
      </c>
    </row>
    <row r="16" spans="1:19">
      <c r="A16" s="1">
        <v>15</v>
      </c>
      <c r="B16" s="1" t="s">
        <v>1412</v>
      </c>
      <c r="C16" s="1" t="s">
        <v>40</v>
      </c>
      <c r="H16" s="1" t="s">
        <v>1456</v>
      </c>
      <c r="I16" s="1" t="s">
        <v>1457</v>
      </c>
      <c r="J16" s="1" t="s">
        <v>1458</v>
      </c>
      <c r="K16" s="1" t="s">
        <v>1459</v>
      </c>
      <c r="Q16" s="1" t="s">
        <v>1420</v>
      </c>
      <c r="R16" s="1" t="s">
        <v>1421</v>
      </c>
      <c r="S16" s="1" t="s">
        <v>1909</v>
      </c>
    </row>
    <row r="17" spans="1:19">
      <c r="A17" s="1">
        <v>16</v>
      </c>
      <c r="B17" s="1" t="s">
        <v>1412</v>
      </c>
      <c r="C17" s="1" t="s">
        <v>40</v>
      </c>
      <c r="H17" s="1" t="s">
        <v>1460</v>
      </c>
      <c r="I17" s="1" t="s">
        <v>1461</v>
      </c>
      <c r="J17" s="1" t="s">
        <v>1462</v>
      </c>
      <c r="K17" s="1" t="s">
        <v>1463</v>
      </c>
      <c r="Q17" s="1" t="s">
        <v>1464</v>
      </c>
      <c r="R17" s="1" t="s">
        <v>1465</v>
      </c>
      <c r="S17" s="1" t="s">
        <v>1909</v>
      </c>
    </row>
    <row r="18" spans="1:19">
      <c r="A18" s="1">
        <v>17</v>
      </c>
      <c r="B18" s="1" t="s">
        <v>1412</v>
      </c>
      <c r="C18" s="1" t="s">
        <v>40</v>
      </c>
      <c r="H18" s="1" t="s">
        <v>1466</v>
      </c>
      <c r="I18" s="1" t="s">
        <v>1467</v>
      </c>
      <c r="J18" s="1" t="s">
        <v>1468</v>
      </c>
      <c r="K18" s="1" t="s">
        <v>1438</v>
      </c>
      <c r="Q18" s="1" t="s">
        <v>1439</v>
      </c>
      <c r="R18" s="1" t="s">
        <v>1440</v>
      </c>
      <c r="S18" s="1" t="s">
        <v>1909</v>
      </c>
    </row>
    <row r="19" spans="1:19">
      <c r="A19" s="1">
        <v>18</v>
      </c>
      <c r="B19" s="1" t="s">
        <v>1412</v>
      </c>
      <c r="C19" s="1" t="s">
        <v>40</v>
      </c>
      <c r="H19" s="1" t="s">
        <v>1469</v>
      </c>
      <c r="I19" s="1" t="s">
        <v>1470</v>
      </c>
      <c r="J19" s="1" t="s">
        <v>1471</v>
      </c>
      <c r="K19" s="1" t="s">
        <v>1472</v>
      </c>
      <c r="Q19" s="1" t="s">
        <v>1439</v>
      </c>
      <c r="R19" s="1" t="s">
        <v>1440</v>
      </c>
      <c r="S19" s="1" t="s">
        <v>1909</v>
      </c>
    </row>
    <row r="20" spans="1:19">
      <c r="A20" s="1">
        <v>19</v>
      </c>
      <c r="B20" s="1" t="s">
        <v>1412</v>
      </c>
      <c r="C20" s="1" t="s">
        <v>40</v>
      </c>
      <c r="H20" s="1" t="s">
        <v>1473</v>
      </c>
      <c r="I20" s="1" t="s">
        <v>1474</v>
      </c>
      <c r="J20" s="1" t="s">
        <v>1475</v>
      </c>
      <c r="K20" s="1" t="s">
        <v>1479</v>
      </c>
      <c r="Q20" s="1" t="s">
        <v>1439</v>
      </c>
      <c r="R20" s="1" t="s">
        <v>1440</v>
      </c>
      <c r="S20" s="1" t="s">
        <v>1909</v>
      </c>
    </row>
    <row r="21" spans="1:19">
      <c r="A21" s="1">
        <v>20</v>
      </c>
      <c r="B21" s="1" t="s">
        <v>1412</v>
      </c>
      <c r="C21" s="1" t="s">
        <v>40</v>
      </c>
      <c r="H21" s="1" t="s">
        <v>1476</v>
      </c>
      <c r="I21" s="1" t="s">
        <v>1477</v>
      </c>
      <c r="J21" s="1" t="s">
        <v>1478</v>
      </c>
      <c r="K21" s="1" t="s">
        <v>1479</v>
      </c>
      <c r="Q21" s="1" t="s">
        <v>1426</v>
      </c>
      <c r="R21" s="1" t="s">
        <v>1427</v>
      </c>
      <c r="S21" s="1" t="s">
        <v>1909</v>
      </c>
    </row>
    <row r="22" spans="1:19">
      <c r="A22" s="1">
        <v>21</v>
      </c>
      <c r="B22" s="1" t="s">
        <v>1412</v>
      </c>
      <c r="C22" s="1" t="s">
        <v>40</v>
      </c>
      <c r="H22" s="1" t="s">
        <v>1480</v>
      </c>
      <c r="I22" s="1" t="s">
        <v>1481</v>
      </c>
      <c r="J22" s="1" t="s">
        <v>1482</v>
      </c>
      <c r="K22" s="1" t="s">
        <v>1483</v>
      </c>
      <c r="Q22" s="1" t="s">
        <v>1439</v>
      </c>
      <c r="R22" s="1" t="s">
        <v>1440</v>
      </c>
      <c r="S22" s="1" t="s">
        <v>1909</v>
      </c>
    </row>
    <row r="23" spans="1:19">
      <c r="A23" s="1">
        <v>22</v>
      </c>
      <c r="B23" s="1" t="s">
        <v>1412</v>
      </c>
      <c r="C23" s="1" t="s">
        <v>40</v>
      </c>
      <c r="H23" s="1" t="s">
        <v>1484</v>
      </c>
      <c r="I23" s="1" t="s">
        <v>1485</v>
      </c>
      <c r="J23" s="1" t="s">
        <v>1486</v>
      </c>
      <c r="K23" s="1" t="s">
        <v>1479</v>
      </c>
      <c r="Q23" s="1" t="s">
        <v>1439</v>
      </c>
      <c r="R23" s="1" t="s">
        <v>1440</v>
      </c>
      <c r="S23" s="1" t="s">
        <v>1909</v>
      </c>
    </row>
    <row r="24" spans="1:19">
      <c r="A24" s="1">
        <v>23</v>
      </c>
      <c r="B24" s="1" t="s">
        <v>1412</v>
      </c>
      <c r="C24" s="1" t="s">
        <v>40</v>
      </c>
      <c r="H24" s="1" t="s">
        <v>1487</v>
      </c>
      <c r="I24" s="1" t="s">
        <v>1488</v>
      </c>
      <c r="J24" s="1" t="s">
        <v>1489</v>
      </c>
      <c r="K24" s="1" t="s">
        <v>1490</v>
      </c>
      <c r="Q24" s="1" t="s">
        <v>1414</v>
      </c>
      <c r="R24" s="1" t="s">
        <v>1415</v>
      </c>
      <c r="S24" s="1" t="s">
        <v>1909</v>
      </c>
    </row>
    <row r="25" spans="1:19">
      <c r="A25" s="1">
        <v>24</v>
      </c>
      <c r="B25" s="1" t="s">
        <v>1412</v>
      </c>
      <c r="C25" s="1" t="s">
        <v>40</v>
      </c>
      <c r="H25" s="1" t="s">
        <v>1491</v>
      </c>
      <c r="I25" s="1" t="s">
        <v>1492</v>
      </c>
      <c r="J25" s="1" t="s">
        <v>1493</v>
      </c>
      <c r="K25" s="1" t="s">
        <v>1494</v>
      </c>
      <c r="Q25" s="1" t="s">
        <v>1414</v>
      </c>
      <c r="R25" s="1" t="s">
        <v>1415</v>
      </c>
      <c r="S25" s="1" t="s">
        <v>1909</v>
      </c>
    </row>
    <row r="26" spans="1:19">
      <c r="A26" s="1">
        <v>25</v>
      </c>
      <c r="B26" s="1" t="s">
        <v>1412</v>
      </c>
      <c r="C26" s="1" t="s">
        <v>40</v>
      </c>
      <c r="H26" s="1" t="s">
        <v>2087</v>
      </c>
      <c r="I26" s="1" t="s">
        <v>2110</v>
      </c>
      <c r="J26" s="1" t="s">
        <v>2088</v>
      </c>
      <c r="K26" s="1" t="s">
        <v>1548</v>
      </c>
      <c r="Q26" s="1" t="s">
        <v>1426</v>
      </c>
      <c r="R26" s="1" t="s">
        <v>1427</v>
      </c>
      <c r="S26" s="1" t="s">
        <v>1909</v>
      </c>
    </row>
    <row r="27" spans="1:19">
      <c r="A27" s="1">
        <v>26</v>
      </c>
      <c r="B27" s="1" t="s">
        <v>1412</v>
      </c>
      <c r="C27" s="1" t="s">
        <v>40</v>
      </c>
      <c r="H27" s="1" t="s">
        <v>1526</v>
      </c>
      <c r="I27" s="1" t="s">
        <v>2060</v>
      </c>
      <c r="J27" s="1" t="s">
        <v>1527</v>
      </c>
      <c r="K27" s="1" t="s">
        <v>1528</v>
      </c>
      <c r="Q27" s="1" t="s">
        <v>1420</v>
      </c>
      <c r="R27" s="1" t="s">
        <v>1421</v>
      </c>
      <c r="S27" s="1" t="s">
        <v>1909</v>
      </c>
    </row>
    <row r="28" spans="1:19">
      <c r="A28" s="1">
        <v>27</v>
      </c>
      <c r="B28" s="1" t="s">
        <v>1412</v>
      </c>
      <c r="C28" s="1" t="s">
        <v>40</v>
      </c>
      <c r="H28" s="1" t="s">
        <v>1496</v>
      </c>
      <c r="I28" s="1" t="s">
        <v>1497</v>
      </c>
      <c r="J28" s="1" t="s">
        <v>1498</v>
      </c>
      <c r="K28" s="1" t="s">
        <v>1499</v>
      </c>
      <c r="Q28" s="1" t="s">
        <v>1414</v>
      </c>
      <c r="R28" s="1" t="s">
        <v>1415</v>
      </c>
      <c r="S28" s="1" t="s">
        <v>1909</v>
      </c>
    </row>
    <row r="29" spans="1:19">
      <c r="A29" s="1">
        <v>28</v>
      </c>
      <c r="B29" s="1" t="s">
        <v>1412</v>
      </c>
      <c r="C29" s="1" t="s">
        <v>40</v>
      </c>
      <c r="H29" s="1" t="s">
        <v>2083</v>
      </c>
      <c r="I29" s="1" t="s">
        <v>2084</v>
      </c>
      <c r="J29" s="1" t="s">
        <v>2085</v>
      </c>
      <c r="K29" s="1" t="s">
        <v>2086</v>
      </c>
      <c r="Q29" s="1" t="s">
        <v>1420</v>
      </c>
      <c r="R29" s="1" t="s">
        <v>1421</v>
      </c>
      <c r="S29" s="1" t="s">
        <v>1909</v>
      </c>
    </row>
    <row r="30" spans="1:19">
      <c r="A30" s="1">
        <v>29</v>
      </c>
      <c r="B30" s="1" t="s">
        <v>1412</v>
      </c>
      <c r="C30" s="1" t="s">
        <v>40</v>
      </c>
      <c r="H30" s="1" t="s">
        <v>1501</v>
      </c>
      <c r="I30" s="1" t="s">
        <v>1502</v>
      </c>
      <c r="J30" s="1" t="s">
        <v>1436</v>
      </c>
      <c r="K30" s="1" t="s">
        <v>1503</v>
      </c>
      <c r="Q30" s="1" t="s">
        <v>1432</v>
      </c>
      <c r="R30" s="1" t="s">
        <v>1433</v>
      </c>
      <c r="S30" s="1" t="s">
        <v>1909</v>
      </c>
    </row>
    <row r="31" spans="1:19">
      <c r="A31" s="1">
        <v>30</v>
      </c>
      <c r="B31" s="1" t="s">
        <v>1412</v>
      </c>
      <c r="C31" s="1" t="s">
        <v>40</v>
      </c>
      <c r="H31" s="1" t="s">
        <v>1504</v>
      </c>
      <c r="I31" s="1" t="s">
        <v>1505</v>
      </c>
      <c r="J31" s="1" t="s">
        <v>1506</v>
      </c>
      <c r="K31" s="1" t="s">
        <v>1507</v>
      </c>
      <c r="L31" s="1" t="s">
        <v>1508</v>
      </c>
      <c r="Q31" s="1" t="s">
        <v>1432</v>
      </c>
      <c r="R31" s="1" t="s">
        <v>1433</v>
      </c>
      <c r="S31" s="1" t="s">
        <v>1909</v>
      </c>
    </row>
    <row r="32" spans="1:19">
      <c r="A32" s="1">
        <v>31</v>
      </c>
      <c r="B32" s="1" t="s">
        <v>1412</v>
      </c>
      <c r="C32" s="1" t="s">
        <v>40</v>
      </c>
      <c r="H32" s="1" t="s">
        <v>1509</v>
      </c>
      <c r="I32" s="1" t="s">
        <v>1510</v>
      </c>
      <c r="J32" s="1" t="s">
        <v>1511</v>
      </c>
      <c r="K32" s="1" t="s">
        <v>1512</v>
      </c>
      <c r="Q32" s="1" t="s">
        <v>1439</v>
      </c>
      <c r="R32" s="1" t="s">
        <v>1440</v>
      </c>
      <c r="S32" s="1" t="s">
        <v>1909</v>
      </c>
    </row>
    <row r="33" spans="1:19">
      <c r="A33" s="1">
        <v>32</v>
      </c>
      <c r="B33" s="1" t="s">
        <v>1412</v>
      </c>
      <c r="C33" s="1" t="s">
        <v>40</v>
      </c>
      <c r="H33" s="1" t="s">
        <v>1513</v>
      </c>
      <c r="I33" s="1" t="s">
        <v>1514</v>
      </c>
      <c r="J33" s="1" t="s">
        <v>1515</v>
      </c>
      <c r="K33" s="1" t="s">
        <v>1516</v>
      </c>
      <c r="Q33" s="1" t="s">
        <v>1426</v>
      </c>
      <c r="R33" s="1" t="s">
        <v>1427</v>
      </c>
      <c r="S33" s="1" t="s">
        <v>1909</v>
      </c>
    </row>
    <row r="34" spans="1:19">
      <c r="A34" s="1">
        <v>33</v>
      </c>
      <c r="B34" s="1" t="s">
        <v>1412</v>
      </c>
      <c r="C34" s="1" t="s">
        <v>40</v>
      </c>
      <c r="H34" s="1" t="s">
        <v>1517</v>
      </c>
      <c r="I34" s="1" t="s">
        <v>1518</v>
      </c>
      <c r="J34" s="1" t="s">
        <v>1519</v>
      </c>
      <c r="K34" s="1" t="s">
        <v>1520</v>
      </c>
      <c r="L34" s="1" t="s">
        <v>1521</v>
      </c>
      <c r="Q34" s="1" t="s">
        <v>1432</v>
      </c>
      <c r="R34" s="1" t="s">
        <v>1433</v>
      </c>
      <c r="S34" s="1" t="s">
        <v>1909</v>
      </c>
    </row>
    <row r="35" spans="1:19">
      <c r="A35" s="1">
        <v>34</v>
      </c>
      <c r="B35" s="1" t="s">
        <v>1412</v>
      </c>
      <c r="C35" s="1" t="s">
        <v>40</v>
      </c>
      <c r="H35" s="1" t="s">
        <v>1522</v>
      </c>
      <c r="I35" s="1" t="s">
        <v>1523</v>
      </c>
      <c r="J35" s="1" t="s">
        <v>1524</v>
      </c>
      <c r="K35" s="1" t="s">
        <v>1525</v>
      </c>
      <c r="L35" s="1" t="s">
        <v>1521</v>
      </c>
      <c r="Q35" s="1" t="s">
        <v>1414</v>
      </c>
      <c r="R35" s="1" t="s">
        <v>1415</v>
      </c>
      <c r="S35" s="1" t="s">
        <v>1909</v>
      </c>
    </row>
    <row r="36" spans="1:19">
      <c r="A36" s="1">
        <v>35</v>
      </c>
      <c r="B36" s="1" t="s">
        <v>1412</v>
      </c>
      <c r="C36" s="1" t="s">
        <v>40</v>
      </c>
      <c r="H36" s="1" t="s">
        <v>2089</v>
      </c>
      <c r="I36" s="1" t="s">
        <v>2090</v>
      </c>
      <c r="J36" s="1" t="s">
        <v>2091</v>
      </c>
      <c r="K36" s="1" t="s">
        <v>1973</v>
      </c>
      <c r="Q36" s="1" t="s">
        <v>1426</v>
      </c>
      <c r="R36" s="1" t="s">
        <v>1427</v>
      </c>
      <c r="S36" s="1" t="s">
        <v>1909</v>
      </c>
    </row>
    <row r="37" spans="1:19">
      <c r="A37" s="1">
        <v>36</v>
      </c>
      <c r="B37" s="1" t="s">
        <v>1412</v>
      </c>
      <c r="C37" s="1" t="s">
        <v>40</v>
      </c>
      <c r="H37" s="1" t="s">
        <v>1529</v>
      </c>
      <c r="I37" s="1" t="s">
        <v>1530</v>
      </c>
      <c r="J37" s="1" t="s">
        <v>1531</v>
      </c>
      <c r="K37" s="1" t="s">
        <v>1413</v>
      </c>
      <c r="L37" s="1" t="s">
        <v>1532</v>
      </c>
      <c r="Q37" s="1" t="s">
        <v>1426</v>
      </c>
      <c r="R37" s="1" t="s">
        <v>1427</v>
      </c>
      <c r="S37" s="1" t="s">
        <v>1909</v>
      </c>
    </row>
    <row r="38" spans="1:19">
      <c r="A38" s="1">
        <v>37</v>
      </c>
      <c r="B38" s="1" t="s">
        <v>1412</v>
      </c>
      <c r="C38" s="1" t="s">
        <v>40</v>
      </c>
      <c r="H38" s="1" t="s">
        <v>1533</v>
      </c>
      <c r="I38" s="1" t="s">
        <v>1534</v>
      </c>
      <c r="J38" s="1" t="s">
        <v>1535</v>
      </c>
      <c r="K38" s="1" t="s">
        <v>1536</v>
      </c>
      <c r="L38" s="1" t="s">
        <v>1537</v>
      </c>
      <c r="Q38" s="1" t="s">
        <v>1414</v>
      </c>
      <c r="R38" s="1" t="s">
        <v>1415</v>
      </c>
      <c r="S38" s="1" t="s">
        <v>1909</v>
      </c>
    </row>
    <row r="39" spans="1:19">
      <c r="A39" s="1">
        <v>38</v>
      </c>
      <c r="B39" s="1" t="s">
        <v>1412</v>
      </c>
      <c r="C39" s="1" t="s">
        <v>40</v>
      </c>
      <c r="H39" s="1" t="s">
        <v>1541</v>
      </c>
      <c r="I39" s="1" t="s">
        <v>1542</v>
      </c>
      <c r="J39" s="1" t="s">
        <v>1543</v>
      </c>
      <c r="K39" s="1" t="s">
        <v>1544</v>
      </c>
      <c r="Q39" s="1" t="s">
        <v>1414</v>
      </c>
      <c r="R39" s="1" t="s">
        <v>1415</v>
      </c>
      <c r="S39" s="1" t="s">
        <v>1909</v>
      </c>
    </row>
    <row r="40" spans="1:19">
      <c r="A40" s="1">
        <v>39</v>
      </c>
      <c r="B40" s="1" t="s">
        <v>1412</v>
      </c>
      <c r="C40" s="1" t="s">
        <v>40</v>
      </c>
      <c r="H40" s="1" t="s">
        <v>1545</v>
      </c>
      <c r="I40" s="1" t="s">
        <v>1546</v>
      </c>
      <c r="J40" s="1" t="s">
        <v>1547</v>
      </c>
      <c r="K40" s="1" t="s">
        <v>1548</v>
      </c>
      <c r="L40" s="1" t="s">
        <v>1549</v>
      </c>
      <c r="Q40" s="1" t="s">
        <v>1414</v>
      </c>
      <c r="R40" s="1" t="s">
        <v>1415</v>
      </c>
      <c r="S40" s="1" t="s">
        <v>1909</v>
      </c>
    </row>
    <row r="41" spans="1:19">
      <c r="A41" s="1">
        <v>40</v>
      </c>
      <c r="B41" s="1" t="s">
        <v>1412</v>
      </c>
      <c r="C41" s="1" t="s">
        <v>40</v>
      </c>
      <c r="H41" s="1" t="s">
        <v>1550</v>
      </c>
      <c r="I41" s="1" t="s">
        <v>1551</v>
      </c>
      <c r="J41" s="1" t="s">
        <v>1552</v>
      </c>
      <c r="K41" s="1" t="s">
        <v>1553</v>
      </c>
      <c r="Q41" s="1" t="s">
        <v>1439</v>
      </c>
      <c r="R41" s="1" t="s">
        <v>1440</v>
      </c>
      <c r="S41" s="1" t="s">
        <v>1909</v>
      </c>
    </row>
    <row r="42" spans="1:19">
      <c r="A42" s="1">
        <v>41</v>
      </c>
      <c r="B42" s="1" t="s">
        <v>1412</v>
      </c>
      <c r="C42" s="1" t="s">
        <v>40</v>
      </c>
      <c r="H42" s="1" t="s">
        <v>1554</v>
      </c>
      <c r="I42" s="1" t="s">
        <v>1555</v>
      </c>
      <c r="J42" s="1" t="s">
        <v>1556</v>
      </c>
      <c r="K42" s="1" t="s">
        <v>1557</v>
      </c>
      <c r="L42" s="1" t="s">
        <v>1558</v>
      </c>
      <c r="Q42" s="1" t="s">
        <v>1414</v>
      </c>
      <c r="R42" s="1" t="s">
        <v>1415</v>
      </c>
      <c r="S42" s="1" t="s">
        <v>1909</v>
      </c>
    </row>
    <row r="43" spans="1:19">
      <c r="A43" s="1">
        <v>42</v>
      </c>
      <c r="B43" s="1" t="s">
        <v>1412</v>
      </c>
      <c r="C43" s="1" t="s">
        <v>40</v>
      </c>
      <c r="H43" s="1" t="s">
        <v>1559</v>
      </c>
      <c r="I43" s="1" t="s">
        <v>1560</v>
      </c>
      <c r="J43" s="1" t="s">
        <v>1561</v>
      </c>
      <c r="K43" s="1" t="s">
        <v>1540</v>
      </c>
      <c r="Q43" s="1" t="s">
        <v>1439</v>
      </c>
      <c r="R43" s="1" t="s">
        <v>1440</v>
      </c>
      <c r="S43" s="1" t="s">
        <v>1909</v>
      </c>
    </row>
    <row r="44" spans="1:19">
      <c r="A44" s="1">
        <v>43</v>
      </c>
      <c r="B44" s="1" t="s">
        <v>1412</v>
      </c>
      <c r="C44" s="1" t="s">
        <v>40</v>
      </c>
      <c r="H44" s="1" t="s">
        <v>1562</v>
      </c>
      <c r="I44" s="1" t="s">
        <v>1563</v>
      </c>
      <c r="J44" s="1" t="s">
        <v>1564</v>
      </c>
      <c r="K44" s="1" t="s">
        <v>1565</v>
      </c>
      <c r="Q44" s="1" t="s">
        <v>1432</v>
      </c>
      <c r="R44" s="1" t="s">
        <v>1433</v>
      </c>
      <c r="S44" s="1" t="s">
        <v>1909</v>
      </c>
    </row>
    <row r="45" spans="1:19">
      <c r="A45" s="1">
        <v>44</v>
      </c>
      <c r="B45" s="1" t="s">
        <v>1412</v>
      </c>
      <c r="C45" s="1" t="s">
        <v>40</v>
      </c>
      <c r="H45" s="1" t="s">
        <v>1566</v>
      </c>
      <c r="I45" s="1" t="s">
        <v>1567</v>
      </c>
      <c r="J45" s="1" t="s">
        <v>1568</v>
      </c>
      <c r="K45" s="1" t="s">
        <v>1479</v>
      </c>
      <c r="Q45" s="1" t="s">
        <v>1426</v>
      </c>
      <c r="R45" s="1" t="s">
        <v>1427</v>
      </c>
      <c r="S45" s="1" t="s">
        <v>1909</v>
      </c>
    </row>
    <row r="46" spans="1:19">
      <c r="A46" s="1">
        <v>45</v>
      </c>
      <c r="B46" s="1" t="s">
        <v>1412</v>
      </c>
      <c r="C46" s="1" t="s">
        <v>40</v>
      </c>
      <c r="H46" s="1" t="s">
        <v>1569</v>
      </c>
      <c r="I46" s="1" t="s">
        <v>1570</v>
      </c>
      <c r="J46" s="1" t="s">
        <v>1571</v>
      </c>
      <c r="K46" s="1" t="s">
        <v>1572</v>
      </c>
      <c r="Q46" s="1" t="s">
        <v>1420</v>
      </c>
      <c r="R46" s="1" t="s">
        <v>1421</v>
      </c>
      <c r="S46" s="1" t="s">
        <v>1909</v>
      </c>
    </row>
    <row r="47" spans="1:19">
      <c r="A47" s="1">
        <v>46</v>
      </c>
      <c r="B47" s="1" t="s">
        <v>1412</v>
      </c>
      <c r="C47" s="1" t="s">
        <v>40</v>
      </c>
      <c r="H47" s="1" t="s">
        <v>1983</v>
      </c>
      <c r="I47" s="1" t="s">
        <v>1984</v>
      </c>
      <c r="J47" s="1" t="s">
        <v>1985</v>
      </c>
      <c r="K47" s="1" t="s">
        <v>1986</v>
      </c>
      <c r="L47" s="1" t="s">
        <v>1987</v>
      </c>
      <c r="Q47" s="1" t="s">
        <v>1426</v>
      </c>
      <c r="R47" s="1" t="s">
        <v>1427</v>
      </c>
      <c r="S47" s="1" t="s">
        <v>1909</v>
      </c>
    </row>
    <row r="48" spans="1:19">
      <c r="A48" s="1">
        <v>47</v>
      </c>
      <c r="B48" s="1" t="s">
        <v>1412</v>
      </c>
      <c r="C48" s="1" t="s">
        <v>40</v>
      </c>
      <c r="H48" s="1" t="s">
        <v>1573</v>
      </c>
      <c r="I48" s="1" t="s">
        <v>1574</v>
      </c>
      <c r="J48" s="1" t="s">
        <v>1575</v>
      </c>
      <c r="K48" s="1" t="s">
        <v>1463</v>
      </c>
      <c r="L48" s="1" t="s">
        <v>1576</v>
      </c>
      <c r="Q48" s="1" t="s">
        <v>1439</v>
      </c>
      <c r="R48" s="1" t="s">
        <v>1440</v>
      </c>
      <c r="S48" s="1" t="s">
        <v>1909</v>
      </c>
    </row>
    <row r="49" spans="1:19">
      <c r="A49" s="1">
        <v>48</v>
      </c>
      <c r="B49" s="1" t="s">
        <v>1412</v>
      </c>
      <c r="C49" s="1" t="s">
        <v>40</v>
      </c>
      <c r="H49" s="1" t="s">
        <v>2092</v>
      </c>
      <c r="I49" s="1" t="s">
        <v>2093</v>
      </c>
      <c r="J49" s="1" t="s">
        <v>2094</v>
      </c>
      <c r="K49" s="1" t="s">
        <v>2095</v>
      </c>
      <c r="Q49" s="1" t="s">
        <v>1426</v>
      </c>
      <c r="R49" s="1" t="s">
        <v>1427</v>
      </c>
      <c r="S49" s="1" t="s">
        <v>1909</v>
      </c>
    </row>
    <row r="50" spans="1:19">
      <c r="A50" s="1">
        <v>49</v>
      </c>
      <c r="B50" s="1" t="s">
        <v>1412</v>
      </c>
      <c r="C50" s="1" t="s">
        <v>40</v>
      </c>
      <c r="H50" s="1" t="s">
        <v>2049</v>
      </c>
      <c r="I50" s="1" t="s">
        <v>2050</v>
      </c>
      <c r="J50" s="1" t="s">
        <v>2051</v>
      </c>
      <c r="K50" s="1" t="s">
        <v>2052</v>
      </c>
      <c r="Q50" s="1" t="s">
        <v>1420</v>
      </c>
      <c r="R50" s="1" t="s">
        <v>1421</v>
      </c>
      <c r="S50" s="1" t="s">
        <v>1909</v>
      </c>
    </row>
    <row r="51" spans="1:19">
      <c r="A51" s="1">
        <v>50</v>
      </c>
      <c r="B51" s="1" t="s">
        <v>1412</v>
      </c>
      <c r="C51" s="1" t="s">
        <v>40</v>
      </c>
      <c r="H51" s="1" t="s">
        <v>2024</v>
      </c>
      <c r="I51" s="1" t="s">
        <v>2025</v>
      </c>
      <c r="J51" s="1" t="s">
        <v>2026</v>
      </c>
      <c r="K51" s="1" t="s">
        <v>1540</v>
      </c>
      <c r="L51" s="1" t="s">
        <v>2027</v>
      </c>
      <c r="Q51" s="1" t="s">
        <v>1420</v>
      </c>
      <c r="R51" s="1" t="s">
        <v>1421</v>
      </c>
      <c r="S51" s="1" t="s">
        <v>1909</v>
      </c>
    </row>
    <row r="52" spans="1:19">
      <c r="A52" s="1">
        <v>51</v>
      </c>
      <c r="B52" s="1" t="s">
        <v>1412</v>
      </c>
      <c r="C52" s="1" t="s">
        <v>40</v>
      </c>
      <c r="H52" s="1" t="s">
        <v>1577</v>
      </c>
      <c r="I52" s="1" t="s">
        <v>1578</v>
      </c>
      <c r="J52" s="1" t="s">
        <v>1579</v>
      </c>
      <c r="K52" s="1" t="s">
        <v>1580</v>
      </c>
      <c r="Q52" s="1" t="s">
        <v>1439</v>
      </c>
      <c r="R52" s="1" t="s">
        <v>1440</v>
      </c>
      <c r="S52" s="1" t="s">
        <v>1909</v>
      </c>
    </row>
    <row r="53" spans="1:19">
      <c r="A53" s="1">
        <v>52</v>
      </c>
      <c r="B53" s="1" t="s">
        <v>1412</v>
      </c>
      <c r="C53" s="1" t="s">
        <v>40</v>
      </c>
      <c r="H53" s="1" t="s">
        <v>1581</v>
      </c>
      <c r="I53" s="1" t="s">
        <v>1582</v>
      </c>
      <c r="J53" s="1" t="s">
        <v>1583</v>
      </c>
      <c r="K53" s="1" t="s">
        <v>1584</v>
      </c>
      <c r="Q53" s="1" t="s">
        <v>1439</v>
      </c>
      <c r="R53" s="1" t="s">
        <v>1440</v>
      </c>
      <c r="S53" s="1" t="s">
        <v>1909</v>
      </c>
    </row>
    <row r="54" spans="1:19">
      <c r="A54" s="1">
        <v>53</v>
      </c>
      <c r="B54" s="1" t="s">
        <v>1412</v>
      </c>
      <c r="C54" s="1" t="s">
        <v>40</v>
      </c>
      <c r="H54" s="1" t="s">
        <v>1585</v>
      </c>
      <c r="I54" s="1" t="s">
        <v>1586</v>
      </c>
      <c r="J54" s="1" t="s">
        <v>1587</v>
      </c>
      <c r="K54" s="1" t="s">
        <v>1446</v>
      </c>
      <c r="L54" s="1" t="s">
        <v>1588</v>
      </c>
      <c r="Q54" s="1" t="s">
        <v>1420</v>
      </c>
      <c r="R54" s="1" t="s">
        <v>1421</v>
      </c>
      <c r="S54" s="1" t="s">
        <v>1909</v>
      </c>
    </row>
    <row r="55" spans="1:19">
      <c r="A55" s="1">
        <v>54</v>
      </c>
      <c r="B55" s="1" t="s">
        <v>1412</v>
      </c>
      <c r="C55" s="1" t="s">
        <v>40</v>
      </c>
      <c r="H55" s="1" t="s">
        <v>1589</v>
      </c>
      <c r="I55" s="1" t="s">
        <v>1590</v>
      </c>
      <c r="J55" s="1" t="s">
        <v>1591</v>
      </c>
      <c r="K55" s="1" t="s">
        <v>1451</v>
      </c>
      <c r="L55" s="1" t="s">
        <v>1592</v>
      </c>
      <c r="Q55" s="1" t="s">
        <v>1439</v>
      </c>
      <c r="R55" s="1" t="s">
        <v>1440</v>
      </c>
      <c r="S55" s="1" t="s">
        <v>1909</v>
      </c>
    </row>
    <row r="56" spans="1:19">
      <c r="A56" s="1">
        <v>55</v>
      </c>
      <c r="B56" s="1" t="s">
        <v>1412</v>
      </c>
      <c r="C56" s="1" t="s">
        <v>40</v>
      </c>
      <c r="H56" s="1" t="s">
        <v>1593</v>
      </c>
      <c r="I56" s="1" t="s">
        <v>1594</v>
      </c>
      <c r="J56" s="1" t="s">
        <v>1595</v>
      </c>
      <c r="K56" s="1" t="s">
        <v>1438</v>
      </c>
      <c r="Q56" s="1" t="s">
        <v>1414</v>
      </c>
      <c r="R56" s="1" t="s">
        <v>1415</v>
      </c>
      <c r="S56" s="1" t="s">
        <v>1909</v>
      </c>
    </row>
    <row r="57" spans="1:19">
      <c r="A57" s="1">
        <v>56</v>
      </c>
      <c r="B57" s="1" t="s">
        <v>1412</v>
      </c>
      <c r="C57" s="1" t="s">
        <v>40</v>
      </c>
      <c r="H57" s="1" t="s">
        <v>1943</v>
      </c>
      <c r="I57" s="1" t="s">
        <v>1944</v>
      </c>
      <c r="J57" s="1" t="s">
        <v>1945</v>
      </c>
      <c r="K57" s="1" t="s">
        <v>1413</v>
      </c>
      <c r="L57" s="1" t="s">
        <v>1946</v>
      </c>
      <c r="Q57" s="1" t="s">
        <v>1426</v>
      </c>
      <c r="R57" s="1" t="s">
        <v>1427</v>
      </c>
      <c r="S57" s="1" t="s">
        <v>1909</v>
      </c>
    </row>
    <row r="58" spans="1:19">
      <c r="A58" s="1">
        <v>57</v>
      </c>
      <c r="B58" s="1" t="s">
        <v>1412</v>
      </c>
      <c r="C58" s="1" t="s">
        <v>40</v>
      </c>
      <c r="H58" s="1" t="s">
        <v>1596</v>
      </c>
      <c r="I58" s="1" t="s">
        <v>1597</v>
      </c>
      <c r="J58" s="1" t="s">
        <v>1598</v>
      </c>
      <c r="K58" s="1" t="s">
        <v>1599</v>
      </c>
      <c r="Q58" s="1" t="s">
        <v>1420</v>
      </c>
      <c r="R58" s="1" t="s">
        <v>1421</v>
      </c>
      <c r="S58" s="1" t="s">
        <v>1909</v>
      </c>
    </row>
    <row r="59" spans="1:19">
      <c r="A59" s="1">
        <v>58</v>
      </c>
      <c r="B59" s="1" t="s">
        <v>1412</v>
      </c>
      <c r="C59" s="1" t="s">
        <v>40</v>
      </c>
      <c r="H59" s="1" t="s">
        <v>1600</v>
      </c>
      <c r="I59" s="1" t="s">
        <v>1601</v>
      </c>
      <c r="J59" s="1" t="s">
        <v>1602</v>
      </c>
      <c r="K59" s="1" t="s">
        <v>1479</v>
      </c>
      <c r="Q59" s="1" t="s">
        <v>1439</v>
      </c>
      <c r="R59" s="1" t="s">
        <v>1440</v>
      </c>
      <c r="S59" s="1" t="s">
        <v>1909</v>
      </c>
    </row>
    <row r="60" spans="1:19">
      <c r="A60" s="1">
        <v>59</v>
      </c>
      <c r="B60" s="1" t="s">
        <v>1412</v>
      </c>
      <c r="C60" s="1" t="s">
        <v>40</v>
      </c>
      <c r="H60" s="1" t="s">
        <v>1603</v>
      </c>
      <c r="I60" s="1" t="s">
        <v>1604</v>
      </c>
      <c r="J60" s="1" t="s">
        <v>1605</v>
      </c>
      <c r="K60" s="1" t="s">
        <v>1606</v>
      </c>
      <c r="Q60" s="1" t="s">
        <v>1432</v>
      </c>
      <c r="R60" s="1" t="s">
        <v>1433</v>
      </c>
      <c r="S60" s="1" t="s">
        <v>1909</v>
      </c>
    </row>
    <row r="61" spans="1:19">
      <c r="A61" s="1">
        <v>60</v>
      </c>
      <c r="B61" s="1" t="s">
        <v>1412</v>
      </c>
      <c r="C61" s="1" t="s">
        <v>40</v>
      </c>
      <c r="H61" s="1" t="s">
        <v>1603</v>
      </c>
      <c r="I61" s="1" t="s">
        <v>1604</v>
      </c>
      <c r="J61" s="1" t="s">
        <v>1605</v>
      </c>
      <c r="K61" s="1" t="s">
        <v>1606</v>
      </c>
      <c r="Q61" s="1" t="s">
        <v>1414</v>
      </c>
      <c r="R61" s="1" t="s">
        <v>1415</v>
      </c>
      <c r="S61" s="1" t="s">
        <v>1909</v>
      </c>
    </row>
    <row r="62" spans="1:19">
      <c r="A62" s="1">
        <v>61</v>
      </c>
      <c r="B62" s="1" t="s">
        <v>1412</v>
      </c>
      <c r="C62" s="1" t="s">
        <v>40</v>
      </c>
      <c r="H62" s="1" t="s">
        <v>2096</v>
      </c>
      <c r="I62" s="1" t="s">
        <v>2097</v>
      </c>
      <c r="J62" s="1" t="s">
        <v>2098</v>
      </c>
      <c r="K62" s="1" t="s">
        <v>1463</v>
      </c>
      <c r="Q62" s="1" t="s">
        <v>1426</v>
      </c>
      <c r="R62" s="1" t="s">
        <v>1427</v>
      </c>
      <c r="S62" s="1" t="s">
        <v>1909</v>
      </c>
    </row>
    <row r="63" spans="1:19">
      <c r="A63" s="1">
        <v>62</v>
      </c>
      <c r="B63" s="1" t="s">
        <v>1412</v>
      </c>
      <c r="C63" s="1" t="s">
        <v>40</v>
      </c>
      <c r="H63" s="1" t="s">
        <v>1607</v>
      </c>
      <c r="I63" s="1" t="s">
        <v>1608</v>
      </c>
      <c r="J63" s="1" t="s">
        <v>1609</v>
      </c>
      <c r="K63" s="1" t="s">
        <v>1610</v>
      </c>
      <c r="Q63" s="1" t="s">
        <v>1420</v>
      </c>
      <c r="R63" s="1" t="s">
        <v>1421</v>
      </c>
      <c r="S63" s="1" t="s">
        <v>1909</v>
      </c>
    </row>
    <row r="64" spans="1:19">
      <c r="A64" s="1">
        <v>63</v>
      </c>
      <c r="B64" s="1" t="s">
        <v>1412</v>
      </c>
      <c r="C64" s="1" t="s">
        <v>40</v>
      </c>
      <c r="H64" s="1" t="s">
        <v>1611</v>
      </c>
      <c r="I64" s="1" t="s">
        <v>1612</v>
      </c>
      <c r="J64" s="1" t="s">
        <v>1613</v>
      </c>
      <c r="K64" s="1" t="s">
        <v>1614</v>
      </c>
      <c r="L64" s="1" t="s">
        <v>1615</v>
      </c>
      <c r="Q64" s="1" t="s">
        <v>1432</v>
      </c>
      <c r="R64" s="1" t="s">
        <v>1433</v>
      </c>
      <c r="S64" s="1" t="s">
        <v>1909</v>
      </c>
    </row>
    <row r="65" spans="1:19">
      <c r="A65" s="1">
        <v>64</v>
      </c>
      <c r="B65" s="1" t="s">
        <v>1412</v>
      </c>
      <c r="C65" s="1" t="s">
        <v>40</v>
      </c>
      <c r="H65" s="1" t="s">
        <v>1616</v>
      </c>
      <c r="I65" s="1" t="s">
        <v>1617</v>
      </c>
      <c r="J65" s="1" t="s">
        <v>1618</v>
      </c>
      <c r="K65" s="1" t="s">
        <v>1619</v>
      </c>
      <c r="L65" s="1" t="s">
        <v>1620</v>
      </c>
      <c r="Q65" s="1" t="s">
        <v>1420</v>
      </c>
      <c r="R65" s="1" t="s">
        <v>1421</v>
      </c>
      <c r="S65" s="1" t="s">
        <v>1909</v>
      </c>
    </row>
    <row r="66" spans="1:19">
      <c r="A66" s="1">
        <v>65</v>
      </c>
      <c r="B66" s="1" t="s">
        <v>1412</v>
      </c>
      <c r="C66" s="1" t="s">
        <v>40</v>
      </c>
      <c r="H66" s="1" t="s">
        <v>1621</v>
      </c>
      <c r="I66" s="1" t="s">
        <v>1622</v>
      </c>
      <c r="J66" s="1" t="s">
        <v>1623</v>
      </c>
      <c r="K66" s="1" t="s">
        <v>1451</v>
      </c>
      <c r="Q66" s="1" t="s">
        <v>1426</v>
      </c>
      <c r="R66" s="1" t="s">
        <v>1427</v>
      </c>
      <c r="S66" s="1" t="s">
        <v>1909</v>
      </c>
    </row>
    <row r="67" spans="1:19">
      <c r="A67" s="1">
        <v>66</v>
      </c>
      <c r="B67" s="1" t="s">
        <v>1412</v>
      </c>
      <c r="C67" s="1" t="s">
        <v>40</v>
      </c>
      <c r="H67" s="1" t="s">
        <v>2121</v>
      </c>
      <c r="I67" s="1" t="s">
        <v>2122</v>
      </c>
      <c r="J67" s="1" t="s">
        <v>2123</v>
      </c>
      <c r="K67" s="1" t="s">
        <v>2064</v>
      </c>
      <c r="Q67" s="1" t="s">
        <v>1439</v>
      </c>
      <c r="R67" s="1" t="s">
        <v>1440</v>
      </c>
      <c r="S67" s="1" t="s">
        <v>1909</v>
      </c>
    </row>
    <row r="68" spans="1:19">
      <c r="A68" s="1">
        <v>67</v>
      </c>
      <c r="B68" s="1" t="s">
        <v>1412</v>
      </c>
      <c r="C68" s="1" t="s">
        <v>40</v>
      </c>
      <c r="H68" s="1" t="s">
        <v>1889</v>
      </c>
      <c r="I68" s="1" t="s">
        <v>1892</v>
      </c>
      <c r="J68" s="1" t="s">
        <v>1890</v>
      </c>
      <c r="K68" s="1" t="s">
        <v>1893</v>
      </c>
      <c r="Q68" s="1" t="s">
        <v>1420</v>
      </c>
      <c r="R68" s="1" t="s">
        <v>1421</v>
      </c>
      <c r="S68" s="1" t="s">
        <v>1909</v>
      </c>
    </row>
    <row r="69" spans="1:19">
      <c r="A69" s="1">
        <v>68</v>
      </c>
      <c r="B69" s="1" t="s">
        <v>1412</v>
      </c>
      <c r="C69" s="1" t="s">
        <v>40</v>
      </c>
      <c r="H69" s="1" t="s">
        <v>1624</v>
      </c>
      <c r="I69" s="1" t="s">
        <v>1625</v>
      </c>
      <c r="J69" s="1" t="s">
        <v>1626</v>
      </c>
      <c r="K69" s="1" t="s">
        <v>1584</v>
      </c>
      <c r="Q69" s="1" t="s">
        <v>1414</v>
      </c>
      <c r="R69" s="1" t="s">
        <v>1415</v>
      </c>
      <c r="S69" s="1" t="s">
        <v>1909</v>
      </c>
    </row>
    <row r="70" spans="1:19">
      <c r="A70" s="1">
        <v>69</v>
      </c>
      <c r="B70" s="1" t="s">
        <v>1412</v>
      </c>
      <c r="C70" s="1" t="s">
        <v>40</v>
      </c>
      <c r="H70" s="1" t="s">
        <v>2029</v>
      </c>
      <c r="I70" s="1" t="s">
        <v>2030</v>
      </c>
      <c r="J70" s="1" t="s">
        <v>2031</v>
      </c>
      <c r="K70" s="1" t="s">
        <v>2032</v>
      </c>
      <c r="L70" s="1" t="s">
        <v>2033</v>
      </c>
      <c r="Q70" s="1" t="s">
        <v>1420</v>
      </c>
      <c r="R70" s="1" t="s">
        <v>1421</v>
      </c>
      <c r="S70" s="1" t="s">
        <v>1909</v>
      </c>
    </row>
    <row r="71" spans="1:19">
      <c r="A71" s="1">
        <v>70</v>
      </c>
      <c r="B71" s="1" t="s">
        <v>1412</v>
      </c>
      <c r="C71" s="1" t="s">
        <v>40</v>
      </c>
      <c r="H71" s="1" t="s">
        <v>1627</v>
      </c>
      <c r="I71" s="1" t="s">
        <v>1628</v>
      </c>
      <c r="J71" s="1" t="s">
        <v>1629</v>
      </c>
      <c r="K71" s="1" t="s">
        <v>1540</v>
      </c>
      <c r="Q71" s="1" t="s">
        <v>1439</v>
      </c>
      <c r="R71" s="1" t="s">
        <v>1440</v>
      </c>
      <c r="S71" s="1" t="s">
        <v>1909</v>
      </c>
    </row>
    <row r="72" spans="1:19">
      <c r="A72" s="1">
        <v>71</v>
      </c>
      <c r="B72" s="1" t="s">
        <v>1412</v>
      </c>
      <c r="C72" s="1" t="s">
        <v>40</v>
      </c>
      <c r="H72" s="1" t="s">
        <v>1630</v>
      </c>
      <c r="I72" s="1" t="s">
        <v>1631</v>
      </c>
      <c r="J72" s="1" t="s">
        <v>1632</v>
      </c>
      <c r="K72" s="1" t="s">
        <v>1633</v>
      </c>
      <c r="Q72" s="1" t="s">
        <v>1420</v>
      </c>
      <c r="R72" s="1" t="s">
        <v>1421</v>
      </c>
      <c r="S72" s="1" t="s">
        <v>1909</v>
      </c>
    </row>
    <row r="73" spans="1:19">
      <c r="A73" s="1">
        <v>72</v>
      </c>
      <c r="B73" s="1" t="s">
        <v>1412</v>
      </c>
      <c r="C73" s="1" t="s">
        <v>40</v>
      </c>
      <c r="H73" s="1" t="s">
        <v>1998</v>
      </c>
      <c r="I73" s="1" t="s">
        <v>1999</v>
      </c>
      <c r="J73" s="1" t="s">
        <v>2000</v>
      </c>
      <c r="K73" s="1" t="s">
        <v>1540</v>
      </c>
      <c r="Q73" s="1" t="s">
        <v>1420</v>
      </c>
      <c r="R73" s="1" t="s">
        <v>1421</v>
      </c>
      <c r="S73" s="1" t="s">
        <v>1909</v>
      </c>
    </row>
    <row r="74" spans="1:19">
      <c r="A74" s="1">
        <v>73</v>
      </c>
      <c r="B74" s="1" t="s">
        <v>1412</v>
      </c>
      <c r="C74" s="1" t="s">
        <v>40</v>
      </c>
      <c r="H74" s="1" t="s">
        <v>2019</v>
      </c>
      <c r="I74" s="1" t="s">
        <v>2020</v>
      </c>
      <c r="J74" s="1" t="s">
        <v>2021</v>
      </c>
      <c r="K74" s="1" t="s">
        <v>1446</v>
      </c>
      <c r="Q74" s="1" t="s">
        <v>1420</v>
      </c>
      <c r="R74" s="1" t="s">
        <v>1421</v>
      </c>
      <c r="S74" s="1" t="s">
        <v>1909</v>
      </c>
    </row>
    <row r="75" spans="1:19">
      <c r="A75" s="1">
        <v>74</v>
      </c>
      <c r="B75" s="1" t="s">
        <v>1412</v>
      </c>
      <c r="C75" s="1" t="s">
        <v>40</v>
      </c>
      <c r="H75" s="1" t="s">
        <v>2061</v>
      </c>
      <c r="I75" s="1" t="s">
        <v>2062</v>
      </c>
      <c r="J75" s="1" t="s">
        <v>2063</v>
      </c>
      <c r="K75" s="1" t="s">
        <v>2064</v>
      </c>
      <c r="Q75" s="1" t="s">
        <v>1420</v>
      </c>
      <c r="R75" s="1" t="s">
        <v>1421</v>
      </c>
      <c r="S75" s="1" t="s">
        <v>1909</v>
      </c>
    </row>
    <row r="76" spans="1:19">
      <c r="A76" s="1">
        <v>75</v>
      </c>
      <c r="B76" s="1" t="s">
        <v>1412</v>
      </c>
      <c r="C76" s="1" t="s">
        <v>40</v>
      </c>
      <c r="H76" s="1" t="s">
        <v>1634</v>
      </c>
      <c r="I76" s="1" t="s">
        <v>1635</v>
      </c>
      <c r="J76" s="1" t="s">
        <v>1636</v>
      </c>
      <c r="K76" s="1" t="s">
        <v>1540</v>
      </c>
      <c r="Q76" s="1" t="s">
        <v>1420</v>
      </c>
      <c r="R76" s="1" t="s">
        <v>1421</v>
      </c>
      <c r="S76" s="1" t="s">
        <v>1909</v>
      </c>
    </row>
    <row r="77" spans="1:19">
      <c r="A77" s="1">
        <v>76</v>
      </c>
      <c r="B77" s="1" t="s">
        <v>1412</v>
      </c>
      <c r="C77" s="1" t="s">
        <v>40</v>
      </c>
      <c r="H77" s="1" t="s">
        <v>1637</v>
      </c>
      <c r="I77" s="1" t="s">
        <v>1635</v>
      </c>
      <c r="J77" s="1" t="s">
        <v>1638</v>
      </c>
      <c r="K77" s="1" t="s">
        <v>1463</v>
      </c>
      <c r="Q77" s="1" t="s">
        <v>1420</v>
      </c>
      <c r="R77" s="1" t="s">
        <v>1421</v>
      </c>
      <c r="S77" s="1" t="s">
        <v>1909</v>
      </c>
    </row>
    <row r="78" spans="1:19">
      <c r="A78" s="1">
        <v>77</v>
      </c>
      <c r="B78" s="1" t="s">
        <v>1412</v>
      </c>
      <c r="C78" s="1" t="s">
        <v>40</v>
      </c>
      <c r="H78" s="1" t="s">
        <v>1993</v>
      </c>
      <c r="I78" s="1" t="s">
        <v>1994</v>
      </c>
      <c r="J78" s="1" t="s">
        <v>1966</v>
      </c>
      <c r="K78" s="1" t="s">
        <v>1540</v>
      </c>
      <c r="Q78" s="1" t="s">
        <v>1853</v>
      </c>
      <c r="R78" s="1" t="s">
        <v>1854</v>
      </c>
      <c r="S78" s="1" t="s">
        <v>1909</v>
      </c>
    </row>
    <row r="79" spans="1:19">
      <c r="A79" s="1">
        <v>78</v>
      </c>
      <c r="B79" s="1" t="s">
        <v>1412</v>
      </c>
      <c r="C79" s="1" t="s">
        <v>40</v>
      </c>
      <c r="H79" s="1" t="s">
        <v>1898</v>
      </c>
      <c r="I79" s="1" t="s">
        <v>1899</v>
      </c>
      <c r="J79" s="1" t="s">
        <v>1900</v>
      </c>
      <c r="K79" s="1" t="s">
        <v>1548</v>
      </c>
      <c r="Q79" s="1" t="s">
        <v>1439</v>
      </c>
      <c r="R79" s="1" t="s">
        <v>1440</v>
      </c>
      <c r="S79" s="1" t="s">
        <v>1909</v>
      </c>
    </row>
    <row r="80" spans="1:19">
      <c r="A80" s="1">
        <v>79</v>
      </c>
      <c r="B80" s="1" t="s">
        <v>1412</v>
      </c>
      <c r="C80" s="1" t="s">
        <v>40</v>
      </c>
      <c r="H80" s="1" t="s">
        <v>1639</v>
      </c>
      <c r="I80" s="1" t="s">
        <v>1640</v>
      </c>
      <c r="J80" s="1" t="s">
        <v>1641</v>
      </c>
      <c r="K80" s="1" t="s">
        <v>1548</v>
      </c>
      <c r="Q80" s="1" t="s">
        <v>1420</v>
      </c>
      <c r="R80" s="1" t="s">
        <v>1421</v>
      </c>
      <c r="S80" s="1" t="s">
        <v>1909</v>
      </c>
    </row>
    <row r="81" spans="1:19">
      <c r="A81" s="1">
        <v>80</v>
      </c>
      <c r="B81" s="1" t="s">
        <v>1412</v>
      </c>
      <c r="C81" s="1" t="s">
        <v>40</v>
      </c>
      <c r="H81" s="1" t="s">
        <v>1954</v>
      </c>
      <c r="I81" s="1" t="s">
        <v>1955</v>
      </c>
      <c r="J81" s="1" t="s">
        <v>1956</v>
      </c>
      <c r="K81" s="1" t="s">
        <v>1446</v>
      </c>
      <c r="L81" s="1" t="s">
        <v>1957</v>
      </c>
      <c r="Q81" s="1" t="s">
        <v>1439</v>
      </c>
      <c r="R81" s="1" t="s">
        <v>1440</v>
      </c>
      <c r="S81" s="1" t="s">
        <v>1909</v>
      </c>
    </row>
    <row r="82" spans="1:19">
      <c r="A82" s="1">
        <v>81</v>
      </c>
      <c r="B82" s="1" t="s">
        <v>1412</v>
      </c>
      <c r="C82" s="1" t="s">
        <v>40</v>
      </c>
      <c r="H82" s="1" t="s">
        <v>1642</v>
      </c>
      <c r="I82" s="1" t="s">
        <v>1643</v>
      </c>
      <c r="J82" s="1" t="s">
        <v>1644</v>
      </c>
      <c r="K82" s="1" t="s">
        <v>1479</v>
      </c>
      <c r="L82" s="1" t="s">
        <v>1645</v>
      </c>
      <c r="Q82" s="1" t="s">
        <v>1414</v>
      </c>
      <c r="R82" s="1" t="s">
        <v>1415</v>
      </c>
      <c r="S82" s="1" t="s">
        <v>1909</v>
      </c>
    </row>
    <row r="83" spans="1:19">
      <c r="A83" s="1">
        <v>82</v>
      </c>
      <c r="B83" s="1" t="s">
        <v>1412</v>
      </c>
      <c r="C83" s="1" t="s">
        <v>40</v>
      </c>
      <c r="H83" s="1" t="s">
        <v>1967</v>
      </c>
      <c r="I83" s="1" t="s">
        <v>1968</v>
      </c>
      <c r="J83" s="1" t="s">
        <v>1969</v>
      </c>
      <c r="K83" s="1" t="s">
        <v>1446</v>
      </c>
      <c r="Q83" s="1" t="s">
        <v>1420</v>
      </c>
      <c r="R83" s="1" t="s">
        <v>1421</v>
      </c>
      <c r="S83" s="1" t="s">
        <v>1909</v>
      </c>
    </row>
    <row r="84" spans="1:19">
      <c r="A84" s="1">
        <v>83</v>
      </c>
      <c r="B84" s="1" t="s">
        <v>1412</v>
      </c>
      <c r="C84" s="1" t="s">
        <v>40</v>
      </c>
      <c r="H84" s="1" t="s">
        <v>2124</v>
      </c>
      <c r="I84" s="1" t="s">
        <v>2125</v>
      </c>
      <c r="J84" s="1" t="s">
        <v>2126</v>
      </c>
      <c r="K84" s="1" t="s">
        <v>1446</v>
      </c>
      <c r="Q84" s="1" t="s">
        <v>1439</v>
      </c>
      <c r="R84" s="1" t="s">
        <v>1440</v>
      </c>
      <c r="S84" s="1" t="s">
        <v>1909</v>
      </c>
    </row>
    <row r="85" spans="1:19">
      <c r="A85" s="1">
        <v>84</v>
      </c>
      <c r="B85" s="1" t="s">
        <v>1412</v>
      </c>
      <c r="C85" s="1" t="s">
        <v>40</v>
      </c>
      <c r="H85" s="1" t="s">
        <v>1646</v>
      </c>
      <c r="I85" s="1" t="s">
        <v>1647</v>
      </c>
      <c r="J85" s="1" t="s">
        <v>1648</v>
      </c>
      <c r="K85" s="1" t="s">
        <v>1540</v>
      </c>
      <c r="L85" s="1" t="s">
        <v>1649</v>
      </c>
      <c r="Q85" s="1" t="s">
        <v>1439</v>
      </c>
      <c r="R85" s="1" t="s">
        <v>1440</v>
      </c>
      <c r="S85" s="1" t="s">
        <v>1909</v>
      </c>
    </row>
    <row r="86" spans="1:19">
      <c r="A86" s="1">
        <v>85</v>
      </c>
      <c r="B86" s="1" t="s">
        <v>1412</v>
      </c>
      <c r="C86" s="1" t="s">
        <v>40</v>
      </c>
      <c r="H86" s="1" t="s">
        <v>1650</v>
      </c>
      <c r="I86" s="1" t="s">
        <v>1651</v>
      </c>
      <c r="J86" s="1" t="s">
        <v>1652</v>
      </c>
      <c r="K86" s="1" t="s">
        <v>1463</v>
      </c>
      <c r="L86" s="1" t="s">
        <v>1653</v>
      </c>
      <c r="Q86" s="1" t="s">
        <v>1439</v>
      </c>
      <c r="R86" s="1" t="s">
        <v>1440</v>
      </c>
      <c r="S86" s="1" t="s">
        <v>1909</v>
      </c>
    </row>
    <row r="87" spans="1:19">
      <c r="A87" s="1">
        <v>86</v>
      </c>
      <c r="B87" s="1" t="s">
        <v>1412</v>
      </c>
      <c r="C87" s="1" t="s">
        <v>40</v>
      </c>
      <c r="H87" s="1" t="s">
        <v>2055</v>
      </c>
      <c r="I87" s="1" t="s">
        <v>2056</v>
      </c>
      <c r="J87" s="1" t="s">
        <v>2057</v>
      </c>
      <c r="K87" s="1" t="s">
        <v>1746</v>
      </c>
      <c r="Q87" s="1" t="s">
        <v>1426</v>
      </c>
      <c r="R87" s="1" t="s">
        <v>1427</v>
      </c>
      <c r="S87" s="1" t="s">
        <v>1909</v>
      </c>
    </row>
    <row r="88" spans="1:19">
      <c r="A88" s="1">
        <v>87</v>
      </c>
      <c r="B88" s="1" t="s">
        <v>1412</v>
      </c>
      <c r="C88" s="1" t="s">
        <v>40</v>
      </c>
      <c r="H88" s="1" t="s">
        <v>1654</v>
      </c>
      <c r="I88" s="1" t="s">
        <v>1655</v>
      </c>
      <c r="J88" s="1" t="s">
        <v>1656</v>
      </c>
      <c r="K88" s="1" t="s">
        <v>1446</v>
      </c>
      <c r="Q88" s="1" t="s">
        <v>1420</v>
      </c>
      <c r="R88" s="1" t="s">
        <v>1421</v>
      </c>
      <c r="S88" s="1" t="s">
        <v>1909</v>
      </c>
    </row>
    <row r="89" spans="1:19">
      <c r="A89" s="1">
        <v>88</v>
      </c>
      <c r="B89" s="1" t="s">
        <v>1412</v>
      </c>
      <c r="C89" s="1" t="s">
        <v>40</v>
      </c>
      <c r="H89" s="1" t="s">
        <v>2035</v>
      </c>
      <c r="I89" s="1" t="s">
        <v>2036</v>
      </c>
      <c r="J89" s="1" t="s">
        <v>2037</v>
      </c>
      <c r="K89" s="1" t="s">
        <v>1540</v>
      </c>
      <c r="L89" s="1" t="s">
        <v>2038</v>
      </c>
      <c r="Q89" s="1" t="s">
        <v>1439</v>
      </c>
      <c r="R89" s="1" t="s">
        <v>1440</v>
      </c>
      <c r="S89" s="1" t="s">
        <v>1909</v>
      </c>
    </row>
    <row r="90" spans="1:19">
      <c r="A90" s="1">
        <v>89</v>
      </c>
      <c r="B90" s="1" t="s">
        <v>1412</v>
      </c>
      <c r="C90" s="1" t="s">
        <v>40</v>
      </c>
      <c r="H90" s="1" t="s">
        <v>1657</v>
      </c>
      <c r="I90" s="1" t="s">
        <v>1658</v>
      </c>
      <c r="J90" s="1" t="s">
        <v>1659</v>
      </c>
      <c r="K90" s="1" t="s">
        <v>1438</v>
      </c>
      <c r="L90" s="1" t="s">
        <v>1660</v>
      </c>
      <c r="Q90" s="1" t="s">
        <v>1439</v>
      </c>
      <c r="R90" s="1" t="s">
        <v>1440</v>
      </c>
      <c r="S90" s="1" t="s">
        <v>1909</v>
      </c>
    </row>
    <row r="91" spans="1:19">
      <c r="A91" s="1">
        <v>90</v>
      </c>
      <c r="B91" s="1" t="s">
        <v>1412</v>
      </c>
      <c r="C91" s="1" t="s">
        <v>40</v>
      </c>
      <c r="H91" s="1" t="s">
        <v>1661</v>
      </c>
      <c r="I91" s="1" t="s">
        <v>1662</v>
      </c>
      <c r="J91" s="1" t="s">
        <v>1663</v>
      </c>
      <c r="K91" s="1" t="s">
        <v>1512</v>
      </c>
      <c r="Q91" s="1" t="s">
        <v>1439</v>
      </c>
      <c r="R91" s="1" t="s">
        <v>1440</v>
      </c>
      <c r="S91" s="1" t="s">
        <v>1909</v>
      </c>
    </row>
    <row r="92" spans="1:19">
      <c r="A92" s="1">
        <v>91</v>
      </c>
      <c r="B92" s="1" t="s">
        <v>1412</v>
      </c>
      <c r="C92" s="1" t="s">
        <v>40</v>
      </c>
      <c r="H92" s="1" t="s">
        <v>1664</v>
      </c>
      <c r="I92" s="1" t="s">
        <v>1665</v>
      </c>
      <c r="J92" s="1" t="s">
        <v>1666</v>
      </c>
      <c r="K92" s="1" t="s">
        <v>1446</v>
      </c>
      <c r="L92" s="1" t="s">
        <v>1667</v>
      </c>
      <c r="Q92" s="1" t="s">
        <v>1414</v>
      </c>
      <c r="R92" s="1" t="s">
        <v>1415</v>
      </c>
      <c r="S92" s="1" t="s">
        <v>1909</v>
      </c>
    </row>
    <row r="93" spans="1:19">
      <c r="A93" s="1">
        <v>92</v>
      </c>
      <c r="B93" s="1" t="s">
        <v>1412</v>
      </c>
      <c r="C93" s="1" t="s">
        <v>40</v>
      </c>
      <c r="H93" s="1" t="s">
        <v>1917</v>
      </c>
      <c r="I93" s="1" t="s">
        <v>1915</v>
      </c>
      <c r="J93" s="1" t="s">
        <v>1916</v>
      </c>
      <c r="K93" s="1" t="s">
        <v>1459</v>
      </c>
      <c r="Q93" s="1" t="s">
        <v>1420</v>
      </c>
      <c r="R93" s="1" t="s">
        <v>1421</v>
      </c>
      <c r="S93" s="1" t="s">
        <v>1909</v>
      </c>
    </row>
    <row r="94" spans="1:19">
      <c r="A94" s="1">
        <v>93</v>
      </c>
      <c r="B94" s="1" t="s">
        <v>1412</v>
      </c>
      <c r="C94" s="1" t="s">
        <v>40</v>
      </c>
      <c r="H94" s="1" t="s">
        <v>1668</v>
      </c>
      <c r="I94" s="1" t="s">
        <v>1669</v>
      </c>
      <c r="J94" s="1" t="s">
        <v>1670</v>
      </c>
      <c r="K94" s="1" t="s">
        <v>1671</v>
      </c>
      <c r="Q94" s="1" t="s">
        <v>1426</v>
      </c>
      <c r="R94" s="1" t="s">
        <v>1427</v>
      </c>
      <c r="S94" s="1" t="s">
        <v>1909</v>
      </c>
    </row>
    <row r="95" spans="1:19">
      <c r="A95" s="1">
        <v>94</v>
      </c>
      <c r="B95" s="1" t="s">
        <v>1412</v>
      </c>
      <c r="C95" s="1" t="s">
        <v>40</v>
      </c>
      <c r="H95" s="1" t="s">
        <v>1672</v>
      </c>
      <c r="I95" s="1" t="s">
        <v>1673</v>
      </c>
      <c r="J95" s="1" t="s">
        <v>1674</v>
      </c>
      <c r="K95" s="1" t="s">
        <v>1463</v>
      </c>
      <c r="Q95" s="1" t="s">
        <v>1439</v>
      </c>
      <c r="R95" s="1" t="s">
        <v>1440</v>
      </c>
      <c r="S95" s="1" t="s">
        <v>1909</v>
      </c>
    </row>
    <row r="96" spans="1:19">
      <c r="A96" s="1">
        <v>95</v>
      </c>
      <c r="B96" s="1" t="s">
        <v>1412</v>
      </c>
      <c r="C96" s="1" t="s">
        <v>40</v>
      </c>
      <c r="H96" s="1" t="s">
        <v>1675</v>
      </c>
      <c r="I96" s="1" t="s">
        <v>1676</v>
      </c>
      <c r="J96" s="1" t="s">
        <v>1677</v>
      </c>
      <c r="K96" s="1" t="s">
        <v>1572</v>
      </c>
      <c r="L96" s="1" t="s">
        <v>1678</v>
      </c>
      <c r="Q96" s="1" t="s">
        <v>1420</v>
      </c>
      <c r="R96" s="1" t="s">
        <v>1421</v>
      </c>
      <c r="S96" s="1" t="s">
        <v>1909</v>
      </c>
    </row>
    <row r="97" spans="1:19">
      <c r="A97" s="1">
        <v>96</v>
      </c>
      <c r="B97" s="1" t="s">
        <v>1412</v>
      </c>
      <c r="C97" s="1" t="s">
        <v>40</v>
      </c>
      <c r="H97" s="1" t="s">
        <v>1679</v>
      </c>
      <c r="I97" s="1" t="s">
        <v>1680</v>
      </c>
      <c r="J97" s="1" t="s">
        <v>1681</v>
      </c>
      <c r="K97" s="1" t="s">
        <v>1442</v>
      </c>
      <c r="Q97" s="1" t="s">
        <v>1414</v>
      </c>
      <c r="R97" s="1" t="s">
        <v>1415</v>
      </c>
      <c r="S97" s="1" t="s">
        <v>1909</v>
      </c>
    </row>
    <row r="98" spans="1:19">
      <c r="A98" s="1">
        <v>97</v>
      </c>
      <c r="B98" s="1" t="s">
        <v>1412</v>
      </c>
      <c r="C98" s="1" t="s">
        <v>40</v>
      </c>
      <c r="H98" s="1" t="s">
        <v>1682</v>
      </c>
      <c r="I98" s="1" t="s">
        <v>1683</v>
      </c>
      <c r="J98" s="1" t="s">
        <v>1684</v>
      </c>
      <c r="K98" s="1" t="s">
        <v>1610</v>
      </c>
      <c r="Q98" s="1" t="s">
        <v>1420</v>
      </c>
      <c r="R98" s="1" t="s">
        <v>1421</v>
      </c>
      <c r="S98" s="1" t="s">
        <v>1909</v>
      </c>
    </row>
    <row r="99" spans="1:19">
      <c r="A99" s="1">
        <v>98</v>
      </c>
      <c r="B99" s="1" t="s">
        <v>1412</v>
      </c>
      <c r="C99" s="1" t="s">
        <v>40</v>
      </c>
      <c r="H99" s="1" t="s">
        <v>1685</v>
      </c>
      <c r="I99" s="1" t="s">
        <v>1686</v>
      </c>
      <c r="J99" s="1" t="s">
        <v>1687</v>
      </c>
      <c r="K99" s="1" t="s">
        <v>1548</v>
      </c>
      <c r="Q99" s="1" t="s">
        <v>1420</v>
      </c>
      <c r="R99" s="1" t="s">
        <v>1421</v>
      </c>
      <c r="S99" s="1" t="s">
        <v>1909</v>
      </c>
    </row>
    <row r="100" spans="1:19">
      <c r="A100" s="1">
        <v>99</v>
      </c>
      <c r="B100" s="1" t="s">
        <v>1412</v>
      </c>
      <c r="C100" s="1" t="s">
        <v>40</v>
      </c>
      <c r="H100" s="1" t="s">
        <v>1688</v>
      </c>
      <c r="I100" s="1" t="s">
        <v>1686</v>
      </c>
      <c r="J100" s="1" t="s">
        <v>1687</v>
      </c>
      <c r="K100" s="1" t="s">
        <v>1689</v>
      </c>
      <c r="Q100" s="1" t="s">
        <v>1420</v>
      </c>
      <c r="R100" s="1" t="s">
        <v>1421</v>
      </c>
      <c r="S100" s="1" t="s">
        <v>1909</v>
      </c>
    </row>
    <row r="101" spans="1:19">
      <c r="A101" s="1">
        <v>100</v>
      </c>
      <c r="B101" s="1" t="s">
        <v>1412</v>
      </c>
      <c r="C101" s="1" t="s">
        <v>40</v>
      </c>
      <c r="H101" s="1" t="s">
        <v>1690</v>
      </c>
      <c r="I101" s="1" t="s">
        <v>1691</v>
      </c>
      <c r="J101" s="1" t="s">
        <v>1692</v>
      </c>
      <c r="K101" s="1" t="s">
        <v>1693</v>
      </c>
      <c r="Q101" s="1" t="s">
        <v>1420</v>
      </c>
      <c r="R101" s="1" t="s">
        <v>1421</v>
      </c>
      <c r="S101" s="1" t="s">
        <v>1909</v>
      </c>
    </row>
    <row r="102" spans="1:19">
      <c r="A102" s="1">
        <v>101</v>
      </c>
      <c r="B102" s="1" t="s">
        <v>1412</v>
      </c>
      <c r="C102" s="1" t="s">
        <v>40</v>
      </c>
      <c r="H102" s="1" t="s">
        <v>1947</v>
      </c>
      <c r="I102" s="1" t="s">
        <v>1948</v>
      </c>
      <c r="J102" s="1" t="s">
        <v>1949</v>
      </c>
      <c r="K102" s="1" t="s">
        <v>1463</v>
      </c>
      <c r="Q102" s="1" t="s">
        <v>1420</v>
      </c>
      <c r="R102" s="1" t="s">
        <v>1421</v>
      </c>
      <c r="S102" s="1" t="s">
        <v>1909</v>
      </c>
    </row>
    <row r="103" spans="1:19">
      <c r="A103" s="1">
        <v>102</v>
      </c>
      <c r="B103" s="1" t="s">
        <v>1412</v>
      </c>
      <c r="C103" s="1" t="s">
        <v>40</v>
      </c>
      <c r="H103" s="1" t="s">
        <v>1694</v>
      </c>
      <c r="I103" s="1" t="s">
        <v>1695</v>
      </c>
      <c r="J103" s="1" t="s">
        <v>1696</v>
      </c>
      <c r="K103" s="1" t="s">
        <v>1479</v>
      </c>
      <c r="Q103" s="1" t="s">
        <v>1420</v>
      </c>
      <c r="R103" s="1" t="s">
        <v>1421</v>
      </c>
      <c r="S103" s="1" t="s">
        <v>1909</v>
      </c>
    </row>
    <row r="104" spans="1:19">
      <c r="A104" s="1">
        <v>103</v>
      </c>
      <c r="B104" s="1" t="s">
        <v>1412</v>
      </c>
      <c r="C104" s="1" t="s">
        <v>40</v>
      </c>
      <c r="H104" s="1" t="s">
        <v>1918</v>
      </c>
      <c r="I104" s="1" t="s">
        <v>1919</v>
      </c>
      <c r="J104" s="1" t="s">
        <v>1920</v>
      </c>
      <c r="K104" s="1" t="s">
        <v>1921</v>
      </c>
      <c r="Q104" s="1" t="s">
        <v>1439</v>
      </c>
      <c r="R104" s="1" t="s">
        <v>1440</v>
      </c>
      <c r="S104" s="1" t="s">
        <v>1909</v>
      </c>
    </row>
    <row r="105" spans="1:19">
      <c r="A105" s="1">
        <v>104</v>
      </c>
      <c r="B105" s="1" t="s">
        <v>1412</v>
      </c>
      <c r="C105" s="1" t="s">
        <v>40</v>
      </c>
      <c r="H105" s="1" t="s">
        <v>1697</v>
      </c>
      <c r="I105" s="1" t="s">
        <v>1698</v>
      </c>
      <c r="J105" s="1" t="s">
        <v>1699</v>
      </c>
      <c r="K105" s="1" t="s">
        <v>1700</v>
      </c>
      <c r="L105" s="1" t="s">
        <v>1701</v>
      </c>
      <c r="Q105" s="1" t="s">
        <v>1414</v>
      </c>
      <c r="R105" s="1" t="s">
        <v>1415</v>
      </c>
      <c r="S105" s="1" t="s">
        <v>1909</v>
      </c>
    </row>
    <row r="106" spans="1:19">
      <c r="A106" s="1">
        <v>105</v>
      </c>
      <c r="B106" s="1" t="s">
        <v>1412</v>
      </c>
      <c r="C106" s="1" t="s">
        <v>40</v>
      </c>
      <c r="H106" s="1" t="s">
        <v>2099</v>
      </c>
      <c r="I106" s="1" t="s">
        <v>2100</v>
      </c>
      <c r="J106" s="1" t="s">
        <v>2101</v>
      </c>
      <c r="K106" s="1" t="s">
        <v>1463</v>
      </c>
      <c r="L106" s="1" t="s">
        <v>2102</v>
      </c>
      <c r="Q106" s="1" t="s">
        <v>1426</v>
      </c>
      <c r="R106" s="1" t="s">
        <v>1427</v>
      </c>
      <c r="S106" s="1" t="s">
        <v>1909</v>
      </c>
    </row>
    <row r="107" spans="1:19">
      <c r="A107" s="1">
        <v>106</v>
      </c>
      <c r="B107" s="1" t="s">
        <v>1412</v>
      </c>
      <c r="C107" s="1" t="s">
        <v>40</v>
      </c>
      <c r="H107" s="1" t="s">
        <v>1703</v>
      </c>
      <c r="I107" s="1" t="s">
        <v>1704</v>
      </c>
      <c r="J107" s="1" t="s">
        <v>1705</v>
      </c>
      <c r="K107" s="1" t="s">
        <v>1706</v>
      </c>
      <c r="L107" s="1" t="s">
        <v>1707</v>
      </c>
      <c r="Q107" s="1" t="s">
        <v>1414</v>
      </c>
      <c r="R107" s="1" t="s">
        <v>1415</v>
      </c>
      <c r="S107" s="1" t="s">
        <v>1909</v>
      </c>
    </row>
    <row r="108" spans="1:19">
      <c r="A108" s="1">
        <v>107</v>
      </c>
      <c r="B108" s="1" t="s">
        <v>1412</v>
      </c>
      <c r="C108" s="1" t="s">
        <v>40</v>
      </c>
      <c r="H108" s="1" t="s">
        <v>1708</v>
      </c>
      <c r="I108" s="1" t="s">
        <v>1709</v>
      </c>
      <c r="J108" s="1" t="s">
        <v>1710</v>
      </c>
      <c r="K108" s="1" t="s">
        <v>1459</v>
      </c>
      <c r="L108" s="1" t="s">
        <v>1711</v>
      </c>
      <c r="Q108" s="1" t="s">
        <v>1420</v>
      </c>
      <c r="R108" s="1" t="s">
        <v>1421</v>
      </c>
      <c r="S108" s="1" t="s">
        <v>1909</v>
      </c>
    </row>
    <row r="109" spans="1:19">
      <c r="A109" s="1">
        <v>108</v>
      </c>
      <c r="B109" s="1" t="s">
        <v>1412</v>
      </c>
      <c r="C109" s="1" t="s">
        <v>40</v>
      </c>
      <c r="H109" s="1" t="s">
        <v>1712</v>
      </c>
      <c r="I109" s="1" t="s">
        <v>1713</v>
      </c>
      <c r="J109" s="1" t="s">
        <v>1714</v>
      </c>
      <c r="K109" s="1" t="s">
        <v>1446</v>
      </c>
      <c r="Q109" s="1" t="s">
        <v>1439</v>
      </c>
      <c r="R109" s="1" t="s">
        <v>1440</v>
      </c>
      <c r="S109" s="1" t="s">
        <v>1909</v>
      </c>
    </row>
    <row r="110" spans="1:19">
      <c r="A110" s="1">
        <v>109</v>
      </c>
      <c r="B110" s="1" t="s">
        <v>1412</v>
      </c>
      <c r="C110" s="1" t="s">
        <v>40</v>
      </c>
      <c r="H110" s="1" t="s">
        <v>2004</v>
      </c>
      <c r="I110" s="1" t="s">
        <v>2005</v>
      </c>
      <c r="J110" s="1" t="s">
        <v>2006</v>
      </c>
      <c r="K110" s="1" t="s">
        <v>1910</v>
      </c>
      <c r="Q110" s="1" t="s">
        <v>1420</v>
      </c>
      <c r="R110" s="1" t="s">
        <v>1421</v>
      </c>
      <c r="S110" s="1" t="s">
        <v>1909</v>
      </c>
    </row>
    <row r="111" spans="1:19">
      <c r="A111" s="1">
        <v>110</v>
      </c>
      <c r="B111" s="1" t="s">
        <v>1412</v>
      </c>
      <c r="C111" s="1" t="s">
        <v>40</v>
      </c>
      <c r="H111" s="1" t="s">
        <v>1715</v>
      </c>
      <c r="I111" s="1" t="s">
        <v>1716</v>
      </c>
      <c r="J111" s="1" t="s">
        <v>1717</v>
      </c>
      <c r="K111" s="1" t="s">
        <v>1512</v>
      </c>
      <c r="L111" s="1" t="s">
        <v>1718</v>
      </c>
      <c r="Q111" s="1" t="s">
        <v>1439</v>
      </c>
      <c r="R111" s="1" t="s">
        <v>1440</v>
      </c>
      <c r="S111" s="1" t="s">
        <v>1909</v>
      </c>
    </row>
    <row r="112" spans="1:19">
      <c r="A112" s="1">
        <v>111</v>
      </c>
      <c r="B112" s="1" t="s">
        <v>1412</v>
      </c>
      <c r="C112" s="1" t="s">
        <v>40</v>
      </c>
      <c r="H112" s="1" t="s">
        <v>1719</v>
      </c>
      <c r="I112" s="1" t="s">
        <v>1720</v>
      </c>
      <c r="J112" s="1" t="s">
        <v>1721</v>
      </c>
      <c r="K112" s="1" t="s">
        <v>1722</v>
      </c>
      <c r="Q112" s="1" t="s">
        <v>1420</v>
      </c>
      <c r="R112" s="1" t="s">
        <v>1421</v>
      </c>
      <c r="S112" s="1" t="s">
        <v>1909</v>
      </c>
    </row>
    <row r="113" spans="1:19">
      <c r="A113" s="1">
        <v>112</v>
      </c>
      <c r="B113" s="1" t="s">
        <v>1412</v>
      </c>
      <c r="C113" s="1" t="s">
        <v>40</v>
      </c>
      <c r="H113" s="1" t="s">
        <v>1723</v>
      </c>
      <c r="I113" s="1" t="s">
        <v>1724</v>
      </c>
      <c r="J113" s="1" t="s">
        <v>1725</v>
      </c>
      <c r="K113" s="1" t="s">
        <v>1726</v>
      </c>
      <c r="Q113" s="1" t="s">
        <v>1420</v>
      </c>
      <c r="R113" s="1" t="s">
        <v>1421</v>
      </c>
      <c r="S113" s="1" t="s">
        <v>1909</v>
      </c>
    </row>
    <row r="114" spans="1:19">
      <c r="A114" s="1">
        <v>113</v>
      </c>
      <c r="B114" s="1" t="s">
        <v>1412</v>
      </c>
      <c r="C114" s="1" t="s">
        <v>40</v>
      </c>
      <c r="H114" s="1" t="s">
        <v>1727</v>
      </c>
      <c r="I114" s="1" t="s">
        <v>1728</v>
      </c>
      <c r="J114" s="1" t="s">
        <v>1729</v>
      </c>
      <c r="K114" s="1" t="s">
        <v>1437</v>
      </c>
      <c r="Q114" s="1" t="s">
        <v>1420</v>
      </c>
      <c r="R114" s="1" t="s">
        <v>1421</v>
      </c>
      <c r="S114" s="1" t="s">
        <v>1909</v>
      </c>
    </row>
    <row r="115" spans="1:19">
      <c r="A115" s="1">
        <v>114</v>
      </c>
      <c r="B115" s="1" t="s">
        <v>1412</v>
      </c>
      <c r="C115" s="1" t="s">
        <v>40</v>
      </c>
      <c r="H115" s="1" t="s">
        <v>2103</v>
      </c>
      <c r="I115" s="1" t="s">
        <v>2104</v>
      </c>
      <c r="J115" s="1" t="s">
        <v>2105</v>
      </c>
      <c r="K115" s="1" t="s">
        <v>1700</v>
      </c>
      <c r="Q115" s="1" t="s">
        <v>1426</v>
      </c>
      <c r="R115" s="1" t="s">
        <v>1427</v>
      </c>
      <c r="S115" s="1" t="s">
        <v>1909</v>
      </c>
    </row>
    <row r="116" spans="1:19">
      <c r="A116" s="1">
        <v>115</v>
      </c>
      <c r="B116" s="1" t="s">
        <v>1412</v>
      </c>
      <c r="C116" s="1" t="s">
        <v>40</v>
      </c>
      <c r="H116" s="1" t="s">
        <v>2065</v>
      </c>
      <c r="I116" s="1" t="s">
        <v>2066</v>
      </c>
      <c r="J116" s="1" t="s">
        <v>2067</v>
      </c>
      <c r="K116" s="1" t="s">
        <v>1693</v>
      </c>
      <c r="Q116" s="1" t="s">
        <v>1420</v>
      </c>
      <c r="R116" s="1" t="s">
        <v>1421</v>
      </c>
      <c r="S116" s="1" t="s">
        <v>1909</v>
      </c>
    </row>
    <row r="117" spans="1:19">
      <c r="A117" s="1">
        <v>116</v>
      </c>
      <c r="B117" s="1" t="s">
        <v>1412</v>
      </c>
      <c r="C117" s="1" t="s">
        <v>40</v>
      </c>
      <c r="H117" s="1" t="s">
        <v>1730</v>
      </c>
      <c r="I117" s="1" t="s">
        <v>1731</v>
      </c>
      <c r="J117" s="1" t="s">
        <v>1732</v>
      </c>
      <c r="K117" s="1" t="s">
        <v>1693</v>
      </c>
      <c r="Q117" s="1" t="s">
        <v>1414</v>
      </c>
      <c r="R117" s="1" t="s">
        <v>1415</v>
      </c>
      <c r="S117" s="1" t="s">
        <v>1909</v>
      </c>
    </row>
    <row r="118" spans="1:19">
      <c r="A118" s="1">
        <v>117</v>
      </c>
      <c r="B118" s="1" t="s">
        <v>1412</v>
      </c>
      <c r="C118" s="1" t="s">
        <v>40</v>
      </c>
      <c r="H118" s="1" t="s">
        <v>1733</v>
      </c>
      <c r="I118" s="1" t="s">
        <v>1734</v>
      </c>
      <c r="J118" s="1" t="s">
        <v>1735</v>
      </c>
      <c r="K118" s="1" t="s">
        <v>1438</v>
      </c>
      <c r="Q118" s="1" t="s">
        <v>1420</v>
      </c>
      <c r="R118" s="1" t="s">
        <v>1421</v>
      </c>
      <c r="S118" s="1" t="s">
        <v>1909</v>
      </c>
    </row>
    <row r="119" spans="1:19">
      <c r="A119" s="1">
        <v>118</v>
      </c>
      <c r="B119" s="1" t="s">
        <v>1412</v>
      </c>
      <c r="C119" s="1" t="s">
        <v>40</v>
      </c>
      <c r="H119" s="1" t="s">
        <v>1894</v>
      </c>
      <c r="I119" s="1" t="s">
        <v>1895</v>
      </c>
      <c r="J119" s="1" t="s">
        <v>1896</v>
      </c>
      <c r="K119" s="1" t="s">
        <v>1463</v>
      </c>
      <c r="Q119" s="1" t="s">
        <v>1439</v>
      </c>
      <c r="R119" s="1" t="s">
        <v>1440</v>
      </c>
      <c r="S119" s="1" t="s">
        <v>1909</v>
      </c>
    </row>
    <row r="120" spans="1:19">
      <c r="A120" s="1">
        <v>119</v>
      </c>
      <c r="B120" s="1" t="s">
        <v>1412</v>
      </c>
      <c r="C120" s="1" t="s">
        <v>40</v>
      </c>
      <c r="H120" s="1" t="s">
        <v>2007</v>
      </c>
      <c r="I120" s="1" t="s">
        <v>2008</v>
      </c>
      <c r="J120" s="1" t="s">
        <v>2009</v>
      </c>
      <c r="K120" s="1" t="s">
        <v>1446</v>
      </c>
      <c r="L120" s="1" t="s">
        <v>2010</v>
      </c>
      <c r="Q120" s="1" t="s">
        <v>1439</v>
      </c>
      <c r="R120" s="1" t="s">
        <v>1440</v>
      </c>
      <c r="S120" s="1" t="s">
        <v>1909</v>
      </c>
    </row>
    <row r="121" spans="1:19">
      <c r="A121" s="1">
        <v>120</v>
      </c>
      <c r="B121" s="1" t="s">
        <v>1412</v>
      </c>
      <c r="C121" s="1" t="s">
        <v>40</v>
      </c>
      <c r="H121" s="1" t="s">
        <v>1736</v>
      </c>
      <c r="I121" s="1" t="s">
        <v>1737</v>
      </c>
      <c r="J121" s="1" t="s">
        <v>1738</v>
      </c>
      <c r="K121" s="1" t="s">
        <v>1463</v>
      </c>
      <c r="L121" s="1" t="s">
        <v>1739</v>
      </c>
      <c r="Q121" s="1" t="s">
        <v>1439</v>
      </c>
      <c r="R121" s="1" t="s">
        <v>1440</v>
      </c>
      <c r="S121" s="1" t="s">
        <v>1909</v>
      </c>
    </row>
    <row r="122" spans="1:19">
      <c r="A122" s="1">
        <v>121</v>
      </c>
      <c r="B122" s="1" t="s">
        <v>1412</v>
      </c>
      <c r="C122" s="1" t="s">
        <v>40</v>
      </c>
      <c r="H122" s="1" t="s">
        <v>1970</v>
      </c>
      <c r="I122" s="1" t="s">
        <v>1971</v>
      </c>
      <c r="J122" s="1" t="s">
        <v>1972</v>
      </c>
      <c r="K122" s="1" t="s">
        <v>1973</v>
      </c>
      <c r="Q122" s="1" t="s">
        <v>1439</v>
      </c>
      <c r="R122" s="1" t="s">
        <v>1440</v>
      </c>
      <c r="S122" s="1" t="s">
        <v>1909</v>
      </c>
    </row>
    <row r="123" spans="1:19">
      <c r="A123" s="1">
        <v>122</v>
      </c>
      <c r="B123" s="1" t="s">
        <v>1412</v>
      </c>
      <c r="C123" s="1" t="s">
        <v>40</v>
      </c>
      <c r="H123" s="1" t="s">
        <v>1740</v>
      </c>
      <c r="I123" s="1" t="s">
        <v>1741</v>
      </c>
      <c r="J123" s="1" t="s">
        <v>1742</v>
      </c>
      <c r="K123" s="1" t="s">
        <v>1548</v>
      </c>
      <c r="Q123" s="1" t="s">
        <v>1439</v>
      </c>
      <c r="R123" s="1" t="s">
        <v>1440</v>
      </c>
      <c r="S123" s="1" t="s">
        <v>1909</v>
      </c>
    </row>
    <row r="124" spans="1:19">
      <c r="A124" s="1">
        <v>123</v>
      </c>
      <c r="B124" s="1" t="s">
        <v>1412</v>
      </c>
      <c r="C124" s="1" t="s">
        <v>40</v>
      </c>
      <c r="H124" s="1" t="s">
        <v>1743</v>
      </c>
      <c r="I124" s="1" t="s">
        <v>1744</v>
      </c>
      <c r="J124" s="1" t="s">
        <v>1745</v>
      </c>
      <c r="K124" s="1" t="s">
        <v>1746</v>
      </c>
      <c r="L124" s="1" t="s">
        <v>1747</v>
      </c>
      <c r="Q124" s="1" t="s">
        <v>1439</v>
      </c>
      <c r="R124" s="1" t="s">
        <v>1440</v>
      </c>
      <c r="S124" s="1" t="s">
        <v>1909</v>
      </c>
    </row>
    <row r="125" spans="1:19">
      <c r="A125" s="1">
        <v>124</v>
      </c>
      <c r="B125" s="1" t="s">
        <v>1412</v>
      </c>
      <c r="C125" s="1" t="s">
        <v>40</v>
      </c>
      <c r="H125" s="1" t="s">
        <v>1748</v>
      </c>
      <c r="I125" s="1" t="s">
        <v>1749</v>
      </c>
      <c r="J125" s="1" t="s">
        <v>1750</v>
      </c>
      <c r="K125" s="1" t="s">
        <v>1479</v>
      </c>
      <c r="Q125" s="1" t="s">
        <v>1414</v>
      </c>
      <c r="R125" s="1" t="s">
        <v>1415</v>
      </c>
      <c r="S125" s="1" t="s">
        <v>1909</v>
      </c>
    </row>
    <row r="126" spans="1:19">
      <c r="A126" s="1">
        <v>125</v>
      </c>
      <c r="B126" s="1" t="s">
        <v>1412</v>
      </c>
      <c r="C126" s="1" t="s">
        <v>40</v>
      </c>
      <c r="H126" s="1" t="s">
        <v>1922</v>
      </c>
      <c r="I126" s="1" t="s">
        <v>1923</v>
      </c>
      <c r="J126" s="1" t="s">
        <v>1924</v>
      </c>
      <c r="K126" s="1" t="s">
        <v>1446</v>
      </c>
      <c r="Q126" s="1" t="s">
        <v>1420</v>
      </c>
      <c r="R126" s="1" t="s">
        <v>1421</v>
      </c>
      <c r="S126" s="1" t="s">
        <v>1909</v>
      </c>
    </row>
    <row r="127" spans="1:19">
      <c r="A127" s="1">
        <v>126</v>
      </c>
      <c r="B127" s="1" t="s">
        <v>1412</v>
      </c>
      <c r="C127" s="1" t="s">
        <v>40</v>
      </c>
      <c r="H127" s="1" t="s">
        <v>1751</v>
      </c>
      <c r="I127" s="1" t="s">
        <v>1752</v>
      </c>
      <c r="J127" s="1" t="s">
        <v>1753</v>
      </c>
      <c r="K127" s="1" t="s">
        <v>1754</v>
      </c>
      <c r="L127" s="1" t="s">
        <v>1755</v>
      </c>
      <c r="Q127" s="1" t="s">
        <v>1439</v>
      </c>
      <c r="R127" s="1" t="s">
        <v>1440</v>
      </c>
      <c r="S127" s="1" t="s">
        <v>1909</v>
      </c>
    </row>
    <row r="128" spans="1:19">
      <c r="A128" s="1">
        <v>127</v>
      </c>
      <c r="B128" s="1" t="s">
        <v>1412</v>
      </c>
      <c r="C128" s="1" t="s">
        <v>40</v>
      </c>
      <c r="H128" s="1" t="s">
        <v>1756</v>
      </c>
      <c r="I128" s="1" t="s">
        <v>1757</v>
      </c>
      <c r="J128" s="1" t="s">
        <v>1758</v>
      </c>
      <c r="K128" s="1" t="s">
        <v>1759</v>
      </c>
      <c r="L128" s="1" t="s">
        <v>1760</v>
      </c>
      <c r="Q128" s="1" t="s">
        <v>1420</v>
      </c>
      <c r="R128" s="1" t="s">
        <v>1421</v>
      </c>
      <c r="S128" s="1" t="s">
        <v>1909</v>
      </c>
    </row>
    <row r="129" spans="1:19">
      <c r="A129" s="1">
        <v>128</v>
      </c>
      <c r="B129" s="1" t="s">
        <v>1412</v>
      </c>
      <c r="C129" s="1" t="s">
        <v>40</v>
      </c>
      <c r="H129" s="1" t="s">
        <v>1761</v>
      </c>
      <c r="I129" s="1" t="s">
        <v>1762</v>
      </c>
      <c r="J129" s="1" t="s">
        <v>1763</v>
      </c>
      <c r="K129" s="1" t="s">
        <v>1512</v>
      </c>
      <c r="Q129" s="1" t="s">
        <v>1439</v>
      </c>
      <c r="R129" s="1" t="s">
        <v>1440</v>
      </c>
      <c r="S129" s="1" t="s">
        <v>1909</v>
      </c>
    </row>
    <row r="130" spans="1:19">
      <c r="A130" s="1">
        <v>129</v>
      </c>
      <c r="B130" s="1" t="s">
        <v>1412</v>
      </c>
      <c r="C130" s="1" t="s">
        <v>40</v>
      </c>
      <c r="H130" s="1" t="s">
        <v>1764</v>
      </c>
      <c r="I130" s="1" t="s">
        <v>1765</v>
      </c>
      <c r="J130" s="1" t="s">
        <v>1766</v>
      </c>
      <c r="K130" s="1" t="s">
        <v>1495</v>
      </c>
      <c r="L130" s="1" t="s">
        <v>1767</v>
      </c>
      <c r="Q130" s="1" t="s">
        <v>1439</v>
      </c>
      <c r="R130" s="1" t="s">
        <v>1440</v>
      </c>
      <c r="S130" s="1" t="s">
        <v>1909</v>
      </c>
    </row>
    <row r="131" spans="1:19">
      <c r="A131" s="1">
        <v>130</v>
      </c>
      <c r="B131" s="1" t="s">
        <v>1412</v>
      </c>
      <c r="C131" s="1" t="s">
        <v>40</v>
      </c>
      <c r="H131" s="1" t="s">
        <v>1958</v>
      </c>
      <c r="I131" s="1" t="s">
        <v>1959</v>
      </c>
      <c r="J131" s="1" t="s">
        <v>1960</v>
      </c>
      <c r="K131" s="1" t="s">
        <v>1540</v>
      </c>
      <c r="L131" s="1" t="s">
        <v>1961</v>
      </c>
      <c r="Q131" s="1" t="s">
        <v>1432</v>
      </c>
      <c r="R131" s="1" t="s">
        <v>1433</v>
      </c>
      <c r="S131" s="1" t="s">
        <v>1962</v>
      </c>
    </row>
    <row r="132" spans="1:19">
      <c r="A132" s="1">
        <v>131</v>
      </c>
      <c r="B132" s="1" t="s">
        <v>1412</v>
      </c>
      <c r="C132" s="1" t="s">
        <v>40</v>
      </c>
      <c r="H132" s="1" t="s">
        <v>1768</v>
      </c>
      <c r="I132" s="1" t="s">
        <v>1769</v>
      </c>
      <c r="J132" s="1" t="s">
        <v>1770</v>
      </c>
      <c r="K132" s="1" t="s">
        <v>1548</v>
      </c>
      <c r="Q132" s="1" t="s">
        <v>1439</v>
      </c>
      <c r="R132" s="1" t="s">
        <v>1440</v>
      </c>
      <c r="S132" s="1" t="s">
        <v>1909</v>
      </c>
    </row>
    <row r="133" spans="1:19">
      <c r="A133" s="1">
        <v>132</v>
      </c>
      <c r="B133" s="1" t="s">
        <v>1412</v>
      </c>
      <c r="C133" s="1" t="s">
        <v>40</v>
      </c>
      <c r="H133" s="1" t="s">
        <v>2011</v>
      </c>
      <c r="I133" s="1" t="s">
        <v>2012</v>
      </c>
      <c r="J133" s="1" t="s">
        <v>2013</v>
      </c>
      <c r="K133" s="1" t="s">
        <v>1446</v>
      </c>
      <c r="Q133" s="1" t="s">
        <v>1439</v>
      </c>
      <c r="R133" s="1" t="s">
        <v>1440</v>
      </c>
      <c r="S133" s="1" t="s">
        <v>1909</v>
      </c>
    </row>
    <row r="134" spans="1:19">
      <c r="A134" s="1">
        <v>133</v>
      </c>
      <c r="B134" s="1" t="s">
        <v>1412</v>
      </c>
      <c r="C134" s="1" t="s">
        <v>40</v>
      </c>
      <c r="H134" s="1" t="s">
        <v>1771</v>
      </c>
      <c r="I134" s="1" t="s">
        <v>1772</v>
      </c>
      <c r="J134" s="1" t="s">
        <v>1773</v>
      </c>
      <c r="K134" s="1" t="s">
        <v>1702</v>
      </c>
      <c r="Q134" s="1" t="s">
        <v>1414</v>
      </c>
      <c r="R134" s="1" t="s">
        <v>1415</v>
      </c>
      <c r="S134" s="1" t="s">
        <v>1909</v>
      </c>
    </row>
    <row r="135" spans="1:19">
      <c r="A135" s="1">
        <v>134</v>
      </c>
      <c r="B135" s="1" t="s">
        <v>1412</v>
      </c>
      <c r="C135" s="1" t="s">
        <v>40</v>
      </c>
      <c r="H135" s="1" t="s">
        <v>1774</v>
      </c>
      <c r="I135" s="1" t="s">
        <v>1775</v>
      </c>
      <c r="J135" s="1" t="s">
        <v>1776</v>
      </c>
      <c r="K135" s="1" t="s">
        <v>1500</v>
      </c>
      <c r="Q135" s="1" t="s">
        <v>1420</v>
      </c>
      <c r="R135" s="1" t="s">
        <v>1421</v>
      </c>
      <c r="S135" s="1" t="s">
        <v>1909</v>
      </c>
    </row>
    <row r="136" spans="1:19">
      <c r="A136" s="1">
        <v>135</v>
      </c>
      <c r="B136" s="1" t="s">
        <v>1412</v>
      </c>
      <c r="C136" s="1" t="s">
        <v>40</v>
      </c>
      <c r="H136" s="1" t="s">
        <v>1936</v>
      </c>
      <c r="I136" s="1" t="s">
        <v>2130</v>
      </c>
      <c r="J136" s="1" t="s">
        <v>1937</v>
      </c>
      <c r="K136" s="1" t="s">
        <v>1528</v>
      </c>
      <c r="Q136" s="1" t="s">
        <v>1420</v>
      </c>
      <c r="R136" s="1" t="s">
        <v>1421</v>
      </c>
      <c r="S136" s="1" t="s">
        <v>1909</v>
      </c>
    </row>
    <row r="137" spans="1:19">
      <c r="A137" s="1">
        <v>136</v>
      </c>
      <c r="B137" s="1" t="s">
        <v>1412</v>
      </c>
      <c r="C137" s="1" t="s">
        <v>40</v>
      </c>
      <c r="H137" s="1" t="s">
        <v>1777</v>
      </c>
      <c r="I137" s="1" t="s">
        <v>1778</v>
      </c>
      <c r="J137" s="1" t="s">
        <v>1779</v>
      </c>
      <c r="K137" s="1" t="s">
        <v>1548</v>
      </c>
      <c r="Q137" s="1" t="s">
        <v>1439</v>
      </c>
      <c r="R137" s="1" t="s">
        <v>1440</v>
      </c>
      <c r="S137" s="1" t="s">
        <v>1909</v>
      </c>
    </row>
    <row r="138" spans="1:19">
      <c r="A138" s="1">
        <v>137</v>
      </c>
      <c r="B138" s="1" t="s">
        <v>1412</v>
      </c>
      <c r="C138" s="1" t="s">
        <v>40</v>
      </c>
      <c r="H138" s="1" t="s">
        <v>1780</v>
      </c>
      <c r="I138" s="1" t="s">
        <v>1781</v>
      </c>
      <c r="J138" s="1" t="s">
        <v>1782</v>
      </c>
      <c r="K138" s="1" t="s">
        <v>1702</v>
      </c>
      <c r="Q138" s="1" t="s">
        <v>1414</v>
      </c>
      <c r="R138" s="1" t="s">
        <v>1415</v>
      </c>
      <c r="S138" s="1" t="s">
        <v>1909</v>
      </c>
    </row>
    <row r="139" spans="1:19">
      <c r="A139" s="1">
        <v>138</v>
      </c>
      <c r="B139" s="1" t="s">
        <v>1412</v>
      </c>
      <c r="C139" s="1" t="s">
        <v>40</v>
      </c>
      <c r="H139" s="1" t="s">
        <v>1783</v>
      </c>
      <c r="I139" s="1" t="s">
        <v>1784</v>
      </c>
      <c r="J139" s="1" t="s">
        <v>1785</v>
      </c>
      <c r="K139" s="1" t="s">
        <v>1786</v>
      </c>
      <c r="L139" s="1" t="s">
        <v>1787</v>
      </c>
      <c r="Q139" s="1" t="s">
        <v>1420</v>
      </c>
      <c r="R139" s="1" t="s">
        <v>1421</v>
      </c>
      <c r="S139" s="1" t="s">
        <v>1909</v>
      </c>
    </row>
    <row r="140" spans="1:19">
      <c r="A140" s="1">
        <v>139</v>
      </c>
      <c r="B140" s="1" t="s">
        <v>1412</v>
      </c>
      <c r="C140" s="1" t="s">
        <v>40</v>
      </c>
      <c r="H140" s="1" t="s">
        <v>1788</v>
      </c>
      <c r="I140" s="1" t="s">
        <v>1789</v>
      </c>
      <c r="J140" s="1" t="s">
        <v>1790</v>
      </c>
      <c r="K140" s="1" t="s">
        <v>1446</v>
      </c>
      <c r="L140" s="1" t="s">
        <v>1791</v>
      </c>
      <c r="Q140" s="1" t="s">
        <v>1439</v>
      </c>
      <c r="R140" s="1" t="s">
        <v>1440</v>
      </c>
      <c r="S140" s="1" t="s">
        <v>1909</v>
      </c>
    </row>
    <row r="141" spans="1:19">
      <c r="A141" s="1">
        <v>140</v>
      </c>
      <c r="B141" s="1" t="s">
        <v>1412</v>
      </c>
      <c r="C141" s="1" t="s">
        <v>40</v>
      </c>
      <c r="H141" s="1" t="s">
        <v>2068</v>
      </c>
      <c r="I141" s="1" t="s">
        <v>2069</v>
      </c>
      <c r="J141" s="1" t="s">
        <v>2070</v>
      </c>
      <c r="K141" s="1" t="s">
        <v>1479</v>
      </c>
      <c r="Q141" s="1" t="s">
        <v>1439</v>
      </c>
      <c r="R141" s="1" t="s">
        <v>1440</v>
      </c>
      <c r="S141" s="1" t="s">
        <v>1909</v>
      </c>
    </row>
    <row r="142" spans="1:19">
      <c r="A142" s="1">
        <v>141</v>
      </c>
      <c r="B142" s="1" t="s">
        <v>1412</v>
      </c>
      <c r="C142" s="1" t="s">
        <v>40</v>
      </c>
      <c r="H142" s="1" t="s">
        <v>1792</v>
      </c>
      <c r="I142" s="1" t="s">
        <v>1793</v>
      </c>
      <c r="J142" s="1" t="s">
        <v>1794</v>
      </c>
      <c r="K142" s="1" t="s">
        <v>1540</v>
      </c>
      <c r="Q142" s="1" t="s">
        <v>1439</v>
      </c>
      <c r="R142" s="1" t="s">
        <v>1440</v>
      </c>
      <c r="S142" s="1" t="s">
        <v>1909</v>
      </c>
    </row>
    <row r="143" spans="1:19">
      <c r="A143" s="1">
        <v>142</v>
      </c>
      <c r="B143" s="1" t="s">
        <v>1412</v>
      </c>
      <c r="C143" s="1" t="s">
        <v>40</v>
      </c>
      <c r="H143" s="1" t="s">
        <v>2039</v>
      </c>
      <c r="I143" s="1" t="s">
        <v>2040</v>
      </c>
      <c r="J143" s="1" t="s">
        <v>2041</v>
      </c>
      <c r="K143" s="1" t="s">
        <v>1572</v>
      </c>
      <c r="L143" s="1" t="s">
        <v>2042</v>
      </c>
      <c r="Q143" s="1" t="s">
        <v>1439</v>
      </c>
      <c r="R143" s="1" t="s">
        <v>1440</v>
      </c>
      <c r="S143" s="1" t="s">
        <v>1909</v>
      </c>
    </row>
    <row r="144" spans="1:19">
      <c r="A144" s="1">
        <v>143</v>
      </c>
      <c r="B144" s="1" t="s">
        <v>1412</v>
      </c>
      <c r="C144" s="1" t="s">
        <v>40</v>
      </c>
      <c r="H144" s="1" t="s">
        <v>1795</v>
      </c>
      <c r="I144" s="1" t="s">
        <v>1796</v>
      </c>
      <c r="J144" s="1" t="s">
        <v>1797</v>
      </c>
      <c r="K144" s="1" t="s">
        <v>1798</v>
      </c>
      <c r="Q144" s="1" t="s">
        <v>1420</v>
      </c>
      <c r="R144" s="1" t="s">
        <v>1421</v>
      </c>
      <c r="S144" s="1" t="s">
        <v>1909</v>
      </c>
    </row>
    <row r="145" spans="1:19">
      <c r="A145" s="1">
        <v>144</v>
      </c>
      <c r="B145" s="1" t="s">
        <v>1412</v>
      </c>
      <c r="C145" s="1" t="s">
        <v>40</v>
      </c>
      <c r="H145" s="1" t="s">
        <v>1799</v>
      </c>
      <c r="I145" s="1" t="s">
        <v>1800</v>
      </c>
      <c r="J145" s="1" t="s">
        <v>1801</v>
      </c>
      <c r="K145" s="1" t="s">
        <v>1548</v>
      </c>
      <c r="Q145" s="1" t="s">
        <v>1420</v>
      </c>
      <c r="R145" s="1" t="s">
        <v>1421</v>
      </c>
      <c r="S145" s="1" t="s">
        <v>1909</v>
      </c>
    </row>
    <row r="146" spans="1:19">
      <c r="A146" s="1">
        <v>145</v>
      </c>
      <c r="B146" s="1" t="s">
        <v>1412</v>
      </c>
      <c r="C146" s="1" t="s">
        <v>40</v>
      </c>
      <c r="H146" s="1" t="s">
        <v>1925</v>
      </c>
      <c r="I146" s="1" t="s">
        <v>1926</v>
      </c>
      <c r="J146" s="1" t="s">
        <v>1927</v>
      </c>
      <c r="K146" s="1" t="s">
        <v>1463</v>
      </c>
      <c r="Q146" s="1" t="s">
        <v>1420</v>
      </c>
      <c r="R146" s="1" t="s">
        <v>1421</v>
      </c>
      <c r="S146" s="1" t="s">
        <v>1909</v>
      </c>
    </row>
    <row r="147" spans="1:19">
      <c r="A147" s="1">
        <v>146</v>
      </c>
      <c r="B147" s="1" t="s">
        <v>1412</v>
      </c>
      <c r="C147" s="1" t="s">
        <v>40</v>
      </c>
      <c r="H147" s="1" t="s">
        <v>1928</v>
      </c>
      <c r="I147" s="1" t="s">
        <v>1929</v>
      </c>
      <c r="J147" s="1" t="s">
        <v>1930</v>
      </c>
      <c r="K147" s="1" t="s">
        <v>1572</v>
      </c>
      <c r="Q147" s="1" t="s">
        <v>1420</v>
      </c>
      <c r="R147" s="1" t="s">
        <v>1421</v>
      </c>
      <c r="S147" s="1" t="s">
        <v>1909</v>
      </c>
    </row>
    <row r="148" spans="1:19">
      <c r="A148" s="1">
        <v>147</v>
      </c>
      <c r="B148" s="1" t="s">
        <v>1412</v>
      </c>
      <c r="C148" s="1" t="s">
        <v>40</v>
      </c>
      <c r="H148" s="1" t="s">
        <v>1802</v>
      </c>
      <c r="I148" s="1" t="s">
        <v>1803</v>
      </c>
      <c r="J148" s="1" t="s">
        <v>1804</v>
      </c>
      <c r="K148" s="1" t="s">
        <v>1463</v>
      </c>
      <c r="Q148" s="1" t="s">
        <v>1439</v>
      </c>
      <c r="R148" s="1" t="s">
        <v>1440</v>
      </c>
      <c r="S148" s="1" t="s">
        <v>1909</v>
      </c>
    </row>
    <row r="149" spans="1:19">
      <c r="A149" s="1">
        <v>148</v>
      </c>
      <c r="B149" s="1" t="s">
        <v>1412</v>
      </c>
      <c r="C149" s="1" t="s">
        <v>40</v>
      </c>
      <c r="H149" s="1" t="s">
        <v>1805</v>
      </c>
      <c r="I149" s="1" t="s">
        <v>1806</v>
      </c>
      <c r="J149" s="1" t="s">
        <v>1807</v>
      </c>
      <c r="K149" s="1" t="s">
        <v>1446</v>
      </c>
      <c r="Q149" s="1" t="s">
        <v>1420</v>
      </c>
      <c r="R149" s="1" t="s">
        <v>1421</v>
      </c>
      <c r="S149" s="1" t="s">
        <v>1909</v>
      </c>
    </row>
    <row r="150" spans="1:19">
      <c r="A150" s="1">
        <v>149</v>
      </c>
      <c r="B150" s="1" t="s">
        <v>1412</v>
      </c>
      <c r="C150" s="1" t="s">
        <v>40</v>
      </c>
      <c r="H150" s="1" t="s">
        <v>1808</v>
      </c>
      <c r="I150" s="1" t="s">
        <v>1809</v>
      </c>
      <c r="J150" s="1" t="s">
        <v>1810</v>
      </c>
      <c r="K150" s="1" t="s">
        <v>1540</v>
      </c>
      <c r="Q150" s="1" t="s">
        <v>1439</v>
      </c>
      <c r="R150" s="1" t="s">
        <v>1440</v>
      </c>
      <c r="S150" s="1" t="s">
        <v>1909</v>
      </c>
    </row>
    <row r="151" spans="1:19">
      <c r="A151" s="1">
        <v>150</v>
      </c>
      <c r="B151" s="1" t="s">
        <v>1412</v>
      </c>
      <c r="C151" s="1" t="s">
        <v>40</v>
      </c>
      <c r="H151" s="1" t="s">
        <v>1931</v>
      </c>
      <c r="I151" s="1" t="s">
        <v>1932</v>
      </c>
      <c r="J151" s="1" t="s">
        <v>1933</v>
      </c>
      <c r="K151" s="1" t="s">
        <v>1584</v>
      </c>
      <c r="L151" s="1" t="s">
        <v>1934</v>
      </c>
      <c r="Q151" s="1" t="s">
        <v>1439</v>
      </c>
      <c r="R151" s="1" t="s">
        <v>1440</v>
      </c>
      <c r="S151" s="1" t="s">
        <v>1909</v>
      </c>
    </row>
    <row r="152" spans="1:19">
      <c r="A152" s="1">
        <v>151</v>
      </c>
      <c r="B152" s="1" t="s">
        <v>1412</v>
      </c>
      <c r="C152" s="1" t="s">
        <v>40</v>
      </c>
      <c r="H152" s="1" t="s">
        <v>1811</v>
      </c>
      <c r="I152" s="1" t="s">
        <v>1812</v>
      </c>
      <c r="J152" s="1" t="s">
        <v>1813</v>
      </c>
      <c r="K152" s="1" t="s">
        <v>1446</v>
      </c>
      <c r="Q152" s="1" t="s">
        <v>1439</v>
      </c>
      <c r="R152" s="1" t="s">
        <v>1440</v>
      </c>
      <c r="S152" s="1" t="s">
        <v>1909</v>
      </c>
    </row>
    <row r="153" spans="1:19">
      <c r="A153" s="1">
        <v>152</v>
      </c>
      <c r="B153" s="1" t="s">
        <v>1412</v>
      </c>
      <c r="C153" s="1" t="s">
        <v>40</v>
      </c>
      <c r="H153" s="1" t="s">
        <v>1814</v>
      </c>
      <c r="I153" s="1" t="s">
        <v>1815</v>
      </c>
      <c r="J153" s="1" t="s">
        <v>1816</v>
      </c>
      <c r="K153" s="1" t="s">
        <v>1540</v>
      </c>
      <c r="Q153" s="1" t="s">
        <v>1439</v>
      </c>
      <c r="R153" s="1" t="s">
        <v>1440</v>
      </c>
      <c r="S153" s="1" t="s">
        <v>1909</v>
      </c>
    </row>
    <row r="154" spans="1:19">
      <c r="A154" s="1">
        <v>153</v>
      </c>
      <c r="B154" s="1" t="s">
        <v>1412</v>
      </c>
      <c r="C154" s="1" t="s">
        <v>40</v>
      </c>
      <c r="H154" s="1" t="s">
        <v>1817</v>
      </c>
      <c r="I154" s="1" t="s">
        <v>1818</v>
      </c>
      <c r="J154" s="1" t="s">
        <v>1819</v>
      </c>
      <c r="K154" s="1" t="s">
        <v>1540</v>
      </c>
      <c r="Q154" s="1" t="s">
        <v>1420</v>
      </c>
      <c r="R154" s="1" t="s">
        <v>1421</v>
      </c>
      <c r="S154" s="1" t="s">
        <v>1909</v>
      </c>
    </row>
    <row r="155" spans="1:19">
      <c r="A155" s="1">
        <v>154</v>
      </c>
      <c r="B155" s="1" t="s">
        <v>1412</v>
      </c>
      <c r="C155" s="1" t="s">
        <v>40</v>
      </c>
      <c r="H155" s="1" t="s">
        <v>1820</v>
      </c>
      <c r="I155" s="1" t="s">
        <v>1821</v>
      </c>
      <c r="J155" s="1" t="s">
        <v>1822</v>
      </c>
      <c r="K155" s="1" t="s">
        <v>1512</v>
      </c>
      <c r="L155" s="1" t="s">
        <v>1823</v>
      </c>
      <c r="Q155" s="1" t="s">
        <v>1420</v>
      </c>
      <c r="R155" s="1" t="s">
        <v>1421</v>
      </c>
      <c r="S155" s="1" t="s">
        <v>1909</v>
      </c>
    </row>
    <row r="156" spans="1:19">
      <c r="A156" s="1">
        <v>155</v>
      </c>
      <c r="B156" s="1" t="s">
        <v>1412</v>
      </c>
      <c r="C156" s="1" t="s">
        <v>40</v>
      </c>
      <c r="H156" s="1" t="s">
        <v>1880</v>
      </c>
      <c r="I156" s="1" t="s">
        <v>1881</v>
      </c>
      <c r="J156" s="1" t="s">
        <v>1882</v>
      </c>
      <c r="K156" s="1" t="s">
        <v>1548</v>
      </c>
      <c r="Q156" s="1" t="s">
        <v>1420</v>
      </c>
      <c r="R156" s="1" t="s">
        <v>1421</v>
      </c>
      <c r="S156" s="1" t="s">
        <v>1909</v>
      </c>
    </row>
    <row r="157" spans="1:19">
      <c r="A157" s="1">
        <v>156</v>
      </c>
      <c r="B157" s="1" t="s">
        <v>1412</v>
      </c>
      <c r="C157" s="1" t="s">
        <v>40</v>
      </c>
      <c r="H157" s="1" t="s">
        <v>1824</v>
      </c>
      <c r="I157" s="1" t="s">
        <v>1825</v>
      </c>
      <c r="J157" s="1" t="s">
        <v>1826</v>
      </c>
      <c r="K157" s="1" t="s">
        <v>1446</v>
      </c>
      <c r="Q157" s="1" t="s">
        <v>1439</v>
      </c>
      <c r="R157" s="1" t="s">
        <v>1440</v>
      </c>
      <c r="S157" s="1" t="s">
        <v>1909</v>
      </c>
    </row>
    <row r="158" spans="1:19">
      <c r="A158" s="1">
        <v>157</v>
      </c>
      <c r="B158" s="1" t="s">
        <v>1412</v>
      </c>
      <c r="C158" s="1" t="s">
        <v>40</v>
      </c>
      <c r="H158" s="1" t="s">
        <v>2131</v>
      </c>
      <c r="I158" s="1" t="s">
        <v>2132</v>
      </c>
      <c r="J158" s="1" t="s">
        <v>2133</v>
      </c>
      <c r="K158" s="1" t="s">
        <v>1584</v>
      </c>
      <c r="Q158" s="1" t="s">
        <v>1432</v>
      </c>
      <c r="R158" s="1" t="s">
        <v>1433</v>
      </c>
      <c r="S158" s="1" t="s">
        <v>1909</v>
      </c>
    </row>
    <row r="159" spans="1:19">
      <c r="A159" s="1">
        <v>158</v>
      </c>
      <c r="B159" s="1" t="s">
        <v>1412</v>
      </c>
      <c r="C159" s="1" t="s">
        <v>40</v>
      </c>
      <c r="H159" s="1" t="s">
        <v>1827</v>
      </c>
      <c r="I159" s="1" t="s">
        <v>1828</v>
      </c>
      <c r="J159" s="1" t="s">
        <v>1829</v>
      </c>
      <c r="K159" s="1" t="s">
        <v>1548</v>
      </c>
      <c r="Q159" s="1" t="s">
        <v>1439</v>
      </c>
      <c r="R159" s="1" t="s">
        <v>1440</v>
      </c>
      <c r="S159" s="1" t="s">
        <v>1909</v>
      </c>
    </row>
    <row r="160" spans="1:19">
      <c r="A160" s="1">
        <v>159</v>
      </c>
      <c r="B160" s="1" t="s">
        <v>1412</v>
      </c>
      <c r="C160" s="1" t="s">
        <v>40</v>
      </c>
      <c r="H160" s="1" t="s">
        <v>2043</v>
      </c>
      <c r="I160" s="1" t="s">
        <v>2044</v>
      </c>
      <c r="J160" s="1" t="s">
        <v>2045</v>
      </c>
      <c r="K160" s="1" t="s">
        <v>1540</v>
      </c>
      <c r="L160" s="1" t="s">
        <v>2046</v>
      </c>
      <c r="Q160" s="1" t="s">
        <v>1432</v>
      </c>
      <c r="R160" s="1" t="s">
        <v>1433</v>
      </c>
      <c r="S160" s="1" t="s">
        <v>1962</v>
      </c>
    </row>
    <row r="161" spans="1:19">
      <c r="A161" s="1">
        <v>160</v>
      </c>
      <c r="B161" s="1" t="s">
        <v>1412</v>
      </c>
      <c r="C161" s="1" t="s">
        <v>40</v>
      </c>
      <c r="H161" s="1" t="s">
        <v>1830</v>
      </c>
      <c r="I161" s="1" t="s">
        <v>1831</v>
      </c>
      <c r="J161" s="1" t="s">
        <v>1832</v>
      </c>
      <c r="K161" s="1" t="s">
        <v>1463</v>
      </c>
      <c r="L161" s="1" t="s">
        <v>1833</v>
      </c>
      <c r="Q161" s="1" t="s">
        <v>1439</v>
      </c>
      <c r="R161" s="1" t="s">
        <v>1440</v>
      </c>
      <c r="S161" s="1" t="s">
        <v>1909</v>
      </c>
    </row>
    <row r="162" spans="1:19">
      <c r="A162" s="1">
        <v>161</v>
      </c>
      <c r="B162" s="1" t="s">
        <v>1412</v>
      </c>
      <c r="C162" s="1" t="s">
        <v>40</v>
      </c>
      <c r="H162" s="1" t="s">
        <v>1834</v>
      </c>
      <c r="I162" s="1" t="s">
        <v>1835</v>
      </c>
      <c r="J162" s="1" t="s">
        <v>1836</v>
      </c>
      <c r="K162" s="1" t="s">
        <v>1413</v>
      </c>
      <c r="L162" s="1" t="s">
        <v>1837</v>
      </c>
      <c r="Q162" s="1" t="s">
        <v>1439</v>
      </c>
      <c r="R162" s="1" t="s">
        <v>1440</v>
      </c>
      <c r="S162" s="1" t="s">
        <v>1909</v>
      </c>
    </row>
    <row r="163" spans="1:19">
      <c r="A163" s="1">
        <v>162</v>
      </c>
      <c r="B163" s="1" t="s">
        <v>1412</v>
      </c>
      <c r="C163" s="1" t="s">
        <v>40</v>
      </c>
      <c r="H163" s="1" t="s">
        <v>2106</v>
      </c>
      <c r="I163" s="1" t="s">
        <v>2107</v>
      </c>
      <c r="J163" s="1" t="s">
        <v>2108</v>
      </c>
      <c r="K163" s="1" t="s">
        <v>2054</v>
      </c>
      <c r="Q163" s="1" t="s">
        <v>1426</v>
      </c>
      <c r="R163" s="1" t="s">
        <v>1427</v>
      </c>
      <c r="S163" s="1" t="s">
        <v>1909</v>
      </c>
    </row>
    <row r="164" spans="1:19">
      <c r="A164" s="1">
        <v>163</v>
      </c>
      <c r="B164" s="1" t="s">
        <v>1412</v>
      </c>
      <c r="C164" s="1" t="s">
        <v>40</v>
      </c>
      <c r="H164" s="1" t="s">
        <v>1838</v>
      </c>
      <c r="I164" s="1" t="s">
        <v>1839</v>
      </c>
      <c r="J164" s="1" t="s">
        <v>1840</v>
      </c>
      <c r="K164" s="1" t="s">
        <v>1512</v>
      </c>
      <c r="Q164" s="1" t="s">
        <v>1414</v>
      </c>
      <c r="R164" s="1" t="s">
        <v>1415</v>
      </c>
      <c r="S164" s="1" t="s">
        <v>1909</v>
      </c>
    </row>
    <row r="165" spans="1:19">
      <c r="A165" s="1">
        <v>164</v>
      </c>
      <c r="B165" s="1" t="s">
        <v>1412</v>
      </c>
      <c r="C165" s="1" t="s">
        <v>40</v>
      </c>
      <c r="H165" s="1" t="s">
        <v>1843</v>
      </c>
      <c r="I165" s="1" t="s">
        <v>1844</v>
      </c>
      <c r="J165" s="1" t="s">
        <v>1845</v>
      </c>
      <c r="K165" s="1" t="s">
        <v>1479</v>
      </c>
      <c r="Q165" s="1" t="s">
        <v>1439</v>
      </c>
      <c r="R165" s="1" t="s">
        <v>1440</v>
      </c>
      <c r="S165" s="1" t="s">
        <v>1909</v>
      </c>
    </row>
    <row r="166" spans="1:19">
      <c r="A166" s="1">
        <v>165</v>
      </c>
      <c r="B166" s="1" t="s">
        <v>1412</v>
      </c>
      <c r="C166" s="1" t="s">
        <v>40</v>
      </c>
      <c r="H166" s="1" t="s">
        <v>1841</v>
      </c>
      <c r="I166" s="1" t="s">
        <v>2047</v>
      </c>
      <c r="J166" s="1" t="s">
        <v>1842</v>
      </c>
      <c r="K166" s="1" t="s">
        <v>1438</v>
      </c>
      <c r="Q166" s="1" t="s">
        <v>1439</v>
      </c>
      <c r="R166" s="1" t="s">
        <v>1440</v>
      </c>
      <c r="S166" s="1" t="s">
        <v>1909</v>
      </c>
    </row>
    <row r="167" spans="1:19">
      <c r="A167" s="1">
        <v>166</v>
      </c>
      <c r="B167" s="1" t="s">
        <v>1412</v>
      </c>
      <c r="C167" s="1" t="s">
        <v>40</v>
      </c>
      <c r="H167" s="1" t="s">
        <v>1846</v>
      </c>
      <c r="I167" s="1" t="s">
        <v>1847</v>
      </c>
      <c r="J167" s="1" t="s">
        <v>1848</v>
      </c>
      <c r="K167" s="1" t="s">
        <v>1451</v>
      </c>
      <c r="Q167" s="1" t="s">
        <v>1464</v>
      </c>
      <c r="R167" s="1" t="s">
        <v>1465</v>
      </c>
      <c r="S167" s="1" t="s">
        <v>1909</v>
      </c>
    </row>
    <row r="168" spans="1:19">
      <c r="A168" s="1">
        <v>167</v>
      </c>
      <c r="B168" s="1" t="s">
        <v>1412</v>
      </c>
      <c r="C168" s="1" t="s">
        <v>40</v>
      </c>
      <c r="H168" s="1" t="s">
        <v>1849</v>
      </c>
      <c r="I168" s="1" t="s">
        <v>1850</v>
      </c>
      <c r="J168" s="1" t="s">
        <v>1851</v>
      </c>
      <c r="K168" s="1" t="s">
        <v>1852</v>
      </c>
      <c r="Q168" s="1" t="s">
        <v>1853</v>
      </c>
      <c r="R168" s="1" t="s">
        <v>1854</v>
      </c>
      <c r="S168" s="1" t="s">
        <v>1909</v>
      </c>
    </row>
    <row r="169" spans="1:19">
      <c r="A169" s="1">
        <v>168</v>
      </c>
      <c r="B169" s="1" t="s">
        <v>1412</v>
      </c>
      <c r="C169" s="1" t="s">
        <v>40</v>
      </c>
      <c r="H169" s="1" t="s">
        <v>1855</v>
      </c>
      <c r="I169" s="1" t="s">
        <v>1856</v>
      </c>
      <c r="J169" s="1" t="s">
        <v>1857</v>
      </c>
      <c r="K169" s="1" t="s">
        <v>1858</v>
      </c>
      <c r="L169" s="1" t="s">
        <v>1859</v>
      </c>
      <c r="Q169" s="1" t="s">
        <v>1439</v>
      </c>
      <c r="R169" s="1" t="s">
        <v>1440</v>
      </c>
      <c r="S169" s="1" t="s">
        <v>1909</v>
      </c>
    </row>
    <row r="170" spans="1:19">
      <c r="A170" s="1">
        <v>169</v>
      </c>
      <c r="B170" s="1" t="s">
        <v>1412</v>
      </c>
      <c r="C170" s="1" t="s">
        <v>40</v>
      </c>
      <c r="H170" s="1" t="s">
        <v>1884</v>
      </c>
      <c r="I170" s="1" t="s">
        <v>1885</v>
      </c>
      <c r="J170" s="1" t="s">
        <v>1886</v>
      </c>
      <c r="K170" s="1" t="s">
        <v>1702</v>
      </c>
      <c r="L170" s="1" t="s">
        <v>1887</v>
      </c>
      <c r="Q170" s="1" t="s">
        <v>1432</v>
      </c>
      <c r="R170" s="1" t="s">
        <v>1433</v>
      </c>
      <c r="S170" s="1" t="s">
        <v>1909</v>
      </c>
    </row>
    <row r="171" spans="1:19">
      <c r="A171" s="1">
        <v>170</v>
      </c>
      <c r="B171" s="1" t="s">
        <v>1412</v>
      </c>
      <c r="C171" s="1" t="s">
        <v>40</v>
      </c>
      <c r="H171" s="1" t="s">
        <v>1860</v>
      </c>
      <c r="I171" s="1" t="s">
        <v>1861</v>
      </c>
      <c r="J171" s="1" t="s">
        <v>1862</v>
      </c>
      <c r="K171" s="1" t="s">
        <v>1798</v>
      </c>
      <c r="Q171" s="1" t="s">
        <v>1432</v>
      </c>
      <c r="R171" s="1" t="s">
        <v>1433</v>
      </c>
      <c r="S171" s="1" t="s">
        <v>1909</v>
      </c>
    </row>
    <row r="172" spans="1:19">
      <c r="A172" s="1">
        <v>171</v>
      </c>
      <c r="B172" s="1" t="s">
        <v>1412</v>
      </c>
      <c r="C172" s="1" t="s">
        <v>40</v>
      </c>
      <c r="H172" s="1" t="s">
        <v>1901</v>
      </c>
      <c r="I172" s="1" t="s">
        <v>1902</v>
      </c>
      <c r="J172" s="1" t="s">
        <v>1482</v>
      </c>
      <c r="K172" s="1" t="s">
        <v>1903</v>
      </c>
      <c r="L172" s="1" t="s">
        <v>1904</v>
      </c>
      <c r="Q172" s="1" t="s">
        <v>1439</v>
      </c>
      <c r="R172" s="1" t="s">
        <v>1440</v>
      </c>
      <c r="S172" s="1" t="s">
        <v>1909</v>
      </c>
    </row>
    <row r="173" spans="1:19">
      <c r="A173" s="1">
        <v>172</v>
      </c>
      <c r="B173" s="1" t="s">
        <v>1412</v>
      </c>
      <c r="C173" s="1" t="s">
        <v>40</v>
      </c>
      <c r="H173" s="1" t="s">
        <v>1863</v>
      </c>
      <c r="I173" s="1" t="s">
        <v>1864</v>
      </c>
      <c r="J173" s="1" t="s">
        <v>1851</v>
      </c>
      <c r="K173" s="1" t="s">
        <v>1565</v>
      </c>
      <c r="Q173" s="1" t="s">
        <v>1439</v>
      </c>
      <c r="R173" s="1" t="s">
        <v>1440</v>
      </c>
      <c r="S173" s="1" t="s">
        <v>1909</v>
      </c>
    </row>
    <row r="174" spans="1:19">
      <c r="A174" s="1">
        <v>173</v>
      </c>
      <c r="B174" s="1" t="s">
        <v>1412</v>
      </c>
      <c r="C174" s="1" t="s">
        <v>40</v>
      </c>
      <c r="H174" s="1" t="s">
        <v>1974</v>
      </c>
      <c r="I174" s="1" t="s">
        <v>1975</v>
      </c>
      <c r="J174" s="1" t="s">
        <v>1976</v>
      </c>
      <c r="K174" s="1" t="s">
        <v>1977</v>
      </c>
      <c r="L174" s="1" t="s">
        <v>1978</v>
      </c>
      <c r="Q174" s="1" t="s">
        <v>1439</v>
      </c>
      <c r="R174" s="1" t="s">
        <v>1440</v>
      </c>
      <c r="S174" s="1" t="s">
        <v>1909</v>
      </c>
    </row>
    <row r="175" spans="1:19">
      <c r="A175" s="1">
        <v>174</v>
      </c>
      <c r="B175" s="1" t="s">
        <v>1412</v>
      </c>
      <c r="C175" s="1" t="s">
        <v>40</v>
      </c>
      <c r="H175" s="1" t="s">
        <v>1865</v>
      </c>
      <c r="I175" s="1" t="s">
        <v>1866</v>
      </c>
      <c r="J175" s="1" t="s">
        <v>1436</v>
      </c>
      <c r="K175" s="1" t="s">
        <v>1867</v>
      </c>
      <c r="Q175" s="1" t="s">
        <v>1432</v>
      </c>
      <c r="R175" s="1" t="s">
        <v>1433</v>
      </c>
      <c r="S175" s="1" t="s">
        <v>1909</v>
      </c>
    </row>
    <row r="176" spans="1:19">
      <c r="A176" s="1">
        <v>175</v>
      </c>
      <c r="B176" s="1" t="s">
        <v>1412</v>
      </c>
      <c r="C176" s="1" t="s">
        <v>40</v>
      </c>
      <c r="H176" s="1" t="s">
        <v>1868</v>
      </c>
      <c r="I176" s="1" t="s">
        <v>1869</v>
      </c>
      <c r="J176" s="1" t="s">
        <v>1498</v>
      </c>
      <c r="K176" s="1" t="s">
        <v>1870</v>
      </c>
      <c r="Q176" s="1" t="s">
        <v>1426</v>
      </c>
      <c r="R176" s="1" t="s">
        <v>1427</v>
      </c>
      <c r="S176" s="1" t="s">
        <v>1909</v>
      </c>
    </row>
    <row r="177" spans="1:19">
      <c r="A177" s="1">
        <v>176</v>
      </c>
      <c r="B177" s="1" t="s">
        <v>1412</v>
      </c>
      <c r="C177" s="1" t="s">
        <v>40</v>
      </c>
      <c r="H177" s="1" t="s">
        <v>1871</v>
      </c>
      <c r="I177" s="1" t="s">
        <v>1872</v>
      </c>
      <c r="J177" s="1" t="s">
        <v>1873</v>
      </c>
      <c r="K177" s="1" t="s">
        <v>1565</v>
      </c>
      <c r="Q177" s="1" t="s">
        <v>1432</v>
      </c>
      <c r="R177" s="1" t="s">
        <v>1433</v>
      </c>
      <c r="S177" s="1" t="s">
        <v>1909</v>
      </c>
    </row>
  </sheetData>
  <sheetProtection formatColumns="0" formatRows="0"/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FIL">
    <tabColor indexed="47"/>
  </sheetPr>
  <dimension ref="A1:E1"/>
  <sheetViews>
    <sheetView showGridLines="0" workbookViewId="0">
      <selection activeCell="J14" sqref="J14"/>
    </sheetView>
  </sheetViews>
  <sheetFormatPr defaultColWidth="9.140625" defaultRowHeight="11.25"/>
  <cols>
    <col min="1" max="16384" width="9.140625" style="1"/>
  </cols>
  <sheetData>
    <row r="1" spans="1:5">
      <c r="A1" s="1" t="s">
        <v>15</v>
      </c>
      <c r="B1" s="1" t="s">
        <v>16</v>
      </c>
      <c r="C1" s="1" t="s">
        <v>17</v>
      </c>
      <c r="D1" s="1" t="s">
        <v>15</v>
      </c>
      <c r="E1" s="1" t="s">
        <v>18</v>
      </c>
    </row>
  </sheetData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F427"/>
  <sheetViews>
    <sheetView showGridLines="0" workbookViewId="0">
      <selection activeCell="Q25" sqref="Q25"/>
    </sheetView>
  </sheetViews>
  <sheetFormatPr defaultRowHeight="11.25"/>
  <cols>
    <col min="1" max="2" width="36.7109375" style="1" customWidth="1"/>
    <col min="3" max="3" width="12.7109375" style="1" customWidth="1"/>
    <col min="4" max="4" width="50.7109375" style="1" customWidth="1"/>
    <col min="5" max="5" width="36.7109375" style="1" customWidth="1"/>
    <col min="6" max="6" width="12.7109375" style="1" customWidth="1"/>
    <col min="7" max="16384" width="9.140625" style="1"/>
  </cols>
  <sheetData>
    <row r="1" spans="1:6">
      <c r="A1" s="1" t="s">
        <v>15</v>
      </c>
      <c r="B1" s="1" t="s">
        <v>16</v>
      </c>
      <c r="C1" s="1" t="s">
        <v>17</v>
      </c>
      <c r="D1" s="1" t="s">
        <v>1402</v>
      </c>
      <c r="E1" s="1" t="s">
        <v>15</v>
      </c>
      <c r="F1" s="1" t="s">
        <v>18</v>
      </c>
    </row>
    <row r="2" spans="1:6">
      <c r="A2" s="1" t="s">
        <v>530</v>
      </c>
      <c r="B2" s="1" t="s">
        <v>530</v>
      </c>
      <c r="C2" s="1" t="s">
        <v>531</v>
      </c>
      <c r="D2" s="1" t="s">
        <v>532</v>
      </c>
      <c r="E2" s="1" t="s">
        <v>530</v>
      </c>
      <c r="F2" s="1" t="s">
        <v>1358</v>
      </c>
    </row>
    <row r="3" spans="1:6">
      <c r="A3" s="1" t="s">
        <v>530</v>
      </c>
      <c r="B3" s="1" t="s">
        <v>533</v>
      </c>
      <c r="C3" s="1" t="s">
        <v>534</v>
      </c>
      <c r="D3" s="1" t="s">
        <v>535</v>
      </c>
      <c r="E3" s="1" t="s">
        <v>552</v>
      </c>
      <c r="F3" s="1" t="s">
        <v>1359</v>
      </c>
    </row>
    <row r="4" spans="1:6">
      <c r="A4" s="1" t="s">
        <v>530</v>
      </c>
      <c r="B4" s="1" t="s">
        <v>536</v>
      </c>
      <c r="C4" s="1" t="s">
        <v>537</v>
      </c>
      <c r="D4" s="1" t="s">
        <v>538</v>
      </c>
      <c r="E4" s="1" t="s">
        <v>578</v>
      </c>
      <c r="F4" s="1" t="s">
        <v>1360</v>
      </c>
    </row>
    <row r="5" spans="1:6">
      <c r="A5" s="1" t="s">
        <v>530</v>
      </c>
      <c r="B5" s="1" t="s">
        <v>539</v>
      </c>
      <c r="C5" s="1" t="s">
        <v>540</v>
      </c>
      <c r="D5" s="1" t="s">
        <v>541</v>
      </c>
      <c r="E5" s="1" t="s">
        <v>588</v>
      </c>
      <c r="F5" s="1" t="s">
        <v>1361</v>
      </c>
    </row>
    <row r="6" spans="1:6">
      <c r="A6" s="1" t="s">
        <v>530</v>
      </c>
      <c r="B6" s="1" t="s">
        <v>542</v>
      </c>
      <c r="C6" s="1" t="s">
        <v>543</v>
      </c>
      <c r="D6" s="1" t="s">
        <v>541</v>
      </c>
      <c r="E6" s="1" t="s">
        <v>611</v>
      </c>
      <c r="F6" s="1" t="s">
        <v>1362</v>
      </c>
    </row>
    <row r="7" spans="1:6">
      <c r="A7" s="1" t="s">
        <v>530</v>
      </c>
      <c r="B7" s="1" t="s">
        <v>544</v>
      </c>
      <c r="C7" s="1" t="s">
        <v>545</v>
      </c>
      <c r="D7" s="1" t="s">
        <v>541</v>
      </c>
      <c r="E7" s="1" t="s">
        <v>629</v>
      </c>
      <c r="F7" s="1" t="s">
        <v>1363</v>
      </c>
    </row>
    <row r="8" spans="1:6">
      <c r="A8" s="1" t="s">
        <v>530</v>
      </c>
      <c r="B8" s="1" t="s">
        <v>546</v>
      </c>
      <c r="C8" s="1" t="s">
        <v>547</v>
      </c>
      <c r="D8" s="1" t="s">
        <v>541</v>
      </c>
      <c r="E8" s="1" t="s">
        <v>651</v>
      </c>
      <c r="F8" s="1" t="s">
        <v>1364</v>
      </c>
    </row>
    <row r="9" spans="1:6">
      <c r="A9" s="1" t="s">
        <v>530</v>
      </c>
      <c r="B9" s="1" t="s">
        <v>548</v>
      </c>
      <c r="C9" s="1" t="s">
        <v>549</v>
      </c>
      <c r="D9" s="1" t="s">
        <v>541</v>
      </c>
      <c r="E9" s="1" t="s">
        <v>654</v>
      </c>
      <c r="F9" s="1" t="s">
        <v>1365</v>
      </c>
    </row>
    <row r="10" spans="1:6">
      <c r="A10" s="1" t="s">
        <v>530</v>
      </c>
      <c r="B10" s="1" t="s">
        <v>550</v>
      </c>
      <c r="C10" s="1" t="s">
        <v>551</v>
      </c>
      <c r="D10" s="1" t="s">
        <v>541</v>
      </c>
      <c r="E10" s="1" t="s">
        <v>656</v>
      </c>
      <c r="F10" s="1" t="s">
        <v>1366</v>
      </c>
    </row>
    <row r="11" spans="1:6">
      <c r="A11" s="1" t="s">
        <v>552</v>
      </c>
      <c r="B11" s="1" t="s">
        <v>552</v>
      </c>
      <c r="C11" s="1" t="s">
        <v>553</v>
      </c>
      <c r="D11" s="1" t="s">
        <v>532</v>
      </c>
      <c r="E11" s="1" t="s">
        <v>658</v>
      </c>
      <c r="F11" s="1" t="s">
        <v>1367</v>
      </c>
    </row>
    <row r="12" spans="1:6">
      <c r="A12" s="1" t="s">
        <v>552</v>
      </c>
      <c r="B12" s="1" t="s">
        <v>554</v>
      </c>
      <c r="C12" s="1" t="s">
        <v>555</v>
      </c>
      <c r="D12" s="1" t="s">
        <v>535</v>
      </c>
      <c r="E12" s="1" t="s">
        <v>660</v>
      </c>
      <c r="F12" s="1" t="s">
        <v>1368</v>
      </c>
    </row>
    <row r="13" spans="1:6">
      <c r="A13" s="1" t="s">
        <v>552</v>
      </c>
      <c r="B13" s="1" t="s">
        <v>556</v>
      </c>
      <c r="C13" s="1" t="s">
        <v>557</v>
      </c>
      <c r="D13" s="1" t="s">
        <v>541</v>
      </c>
      <c r="E13" s="1" t="s">
        <v>662</v>
      </c>
      <c r="F13" s="1" t="s">
        <v>1369</v>
      </c>
    </row>
    <row r="14" spans="1:6">
      <c r="A14" s="1" t="s">
        <v>552</v>
      </c>
      <c r="B14" s="1" t="s">
        <v>558</v>
      </c>
      <c r="C14" s="1" t="s">
        <v>559</v>
      </c>
      <c r="D14" s="1" t="s">
        <v>541</v>
      </c>
      <c r="E14" s="1" t="s">
        <v>664</v>
      </c>
      <c r="F14" s="1" t="s">
        <v>1370</v>
      </c>
    </row>
    <row r="15" spans="1:6">
      <c r="A15" s="1" t="s">
        <v>552</v>
      </c>
      <c r="B15" s="1" t="s">
        <v>560</v>
      </c>
      <c r="C15" s="1" t="s">
        <v>561</v>
      </c>
      <c r="D15" s="1" t="s">
        <v>541</v>
      </c>
      <c r="E15" s="1" t="s">
        <v>666</v>
      </c>
      <c r="F15" s="1" t="s">
        <v>1371</v>
      </c>
    </row>
    <row r="16" spans="1:6">
      <c r="A16" s="1" t="s">
        <v>552</v>
      </c>
      <c r="B16" s="1" t="s">
        <v>562</v>
      </c>
      <c r="C16" s="1" t="s">
        <v>563</v>
      </c>
      <c r="D16" s="1" t="s">
        <v>541</v>
      </c>
      <c r="E16" s="1" t="s">
        <v>698</v>
      </c>
      <c r="F16" s="1" t="s">
        <v>1372</v>
      </c>
    </row>
    <row r="17" spans="1:6">
      <c r="A17" s="1" t="s">
        <v>552</v>
      </c>
      <c r="B17" s="1" t="s">
        <v>564</v>
      </c>
      <c r="C17" s="1" t="s">
        <v>565</v>
      </c>
      <c r="D17" s="1" t="s">
        <v>538</v>
      </c>
      <c r="E17" s="1" t="s">
        <v>720</v>
      </c>
      <c r="F17" s="1" t="s">
        <v>1373</v>
      </c>
    </row>
    <row r="18" spans="1:6">
      <c r="A18" s="1" t="s">
        <v>552</v>
      </c>
      <c r="B18" s="1" t="s">
        <v>566</v>
      </c>
      <c r="C18" s="1" t="s">
        <v>567</v>
      </c>
      <c r="D18" s="1" t="s">
        <v>541</v>
      </c>
      <c r="E18" s="1" t="s">
        <v>744</v>
      </c>
      <c r="F18" s="1" t="s">
        <v>1374</v>
      </c>
    </row>
    <row r="19" spans="1:6">
      <c r="A19" s="1" t="s">
        <v>552</v>
      </c>
      <c r="B19" s="1" t="s">
        <v>568</v>
      </c>
      <c r="C19" s="1" t="s">
        <v>569</v>
      </c>
      <c r="D19" s="1" t="s">
        <v>541</v>
      </c>
      <c r="E19" s="1" t="s">
        <v>764</v>
      </c>
      <c r="F19" s="1" t="s">
        <v>1375</v>
      </c>
    </row>
    <row r="20" spans="1:6">
      <c r="A20" s="1" t="s">
        <v>552</v>
      </c>
      <c r="B20" s="1" t="s">
        <v>570</v>
      </c>
      <c r="C20" s="1" t="s">
        <v>571</v>
      </c>
      <c r="D20" s="1" t="s">
        <v>541</v>
      </c>
      <c r="E20" s="1" t="s">
        <v>782</v>
      </c>
      <c r="F20" s="1" t="s">
        <v>1376</v>
      </c>
    </row>
    <row r="21" spans="1:6">
      <c r="A21" s="1" t="s">
        <v>552</v>
      </c>
      <c r="B21" s="1" t="s">
        <v>572</v>
      </c>
      <c r="C21" s="1" t="s">
        <v>573</v>
      </c>
      <c r="D21" s="1" t="s">
        <v>541</v>
      </c>
      <c r="E21" s="1" t="s">
        <v>802</v>
      </c>
      <c r="F21" s="1" t="s">
        <v>1377</v>
      </c>
    </row>
    <row r="22" spans="1:6">
      <c r="A22" s="1" t="s">
        <v>552</v>
      </c>
      <c r="B22" s="1" t="s">
        <v>574</v>
      </c>
      <c r="C22" s="1" t="s">
        <v>575</v>
      </c>
      <c r="D22" s="1" t="s">
        <v>535</v>
      </c>
      <c r="E22" s="1" t="s">
        <v>824</v>
      </c>
      <c r="F22" s="1" t="s">
        <v>1378</v>
      </c>
    </row>
    <row r="23" spans="1:6">
      <c r="A23" s="1" t="s">
        <v>552</v>
      </c>
      <c r="B23" s="1" t="s">
        <v>576</v>
      </c>
      <c r="C23" s="1" t="s">
        <v>577</v>
      </c>
      <c r="D23" s="1" t="s">
        <v>541</v>
      </c>
      <c r="E23" s="1" t="s">
        <v>846</v>
      </c>
      <c r="F23" s="1" t="s">
        <v>1379</v>
      </c>
    </row>
    <row r="24" spans="1:6">
      <c r="A24" s="1" t="s">
        <v>578</v>
      </c>
      <c r="B24" s="1" t="s">
        <v>578</v>
      </c>
      <c r="C24" s="1" t="s">
        <v>579</v>
      </c>
      <c r="D24" s="1" t="s">
        <v>532</v>
      </c>
      <c r="E24" s="1" t="s">
        <v>859</v>
      </c>
      <c r="F24" s="1" t="s">
        <v>1380</v>
      </c>
    </row>
    <row r="25" spans="1:6">
      <c r="A25" s="1" t="s">
        <v>578</v>
      </c>
      <c r="B25" s="1" t="s">
        <v>580</v>
      </c>
      <c r="C25" s="1" t="s">
        <v>581</v>
      </c>
      <c r="D25" s="1" t="s">
        <v>541</v>
      </c>
      <c r="E25" s="1" t="s">
        <v>883</v>
      </c>
      <c r="F25" s="1" t="s">
        <v>1381</v>
      </c>
    </row>
    <row r="26" spans="1:6">
      <c r="A26" s="1" t="s">
        <v>578</v>
      </c>
      <c r="B26" s="1" t="s">
        <v>582</v>
      </c>
      <c r="C26" s="1" t="s">
        <v>583</v>
      </c>
      <c r="D26" s="1" t="s">
        <v>541</v>
      </c>
      <c r="E26" s="1" t="s">
        <v>903</v>
      </c>
      <c r="F26" s="1" t="s">
        <v>1382</v>
      </c>
    </row>
    <row r="27" spans="1:6">
      <c r="A27" s="1" t="s">
        <v>578</v>
      </c>
      <c r="B27" s="1" t="s">
        <v>584</v>
      </c>
      <c r="C27" s="1" t="s">
        <v>585</v>
      </c>
      <c r="D27" s="1" t="s">
        <v>541</v>
      </c>
      <c r="E27" s="1" t="s">
        <v>926</v>
      </c>
      <c r="F27" s="1" t="s">
        <v>1383</v>
      </c>
    </row>
    <row r="28" spans="1:6">
      <c r="A28" s="1" t="s">
        <v>578</v>
      </c>
      <c r="B28" s="1" t="s">
        <v>586</v>
      </c>
      <c r="C28" s="1" t="s">
        <v>587</v>
      </c>
      <c r="D28" s="1" t="s">
        <v>541</v>
      </c>
      <c r="E28" s="1" t="s">
        <v>954</v>
      </c>
      <c r="F28" s="1" t="s">
        <v>1384</v>
      </c>
    </row>
    <row r="29" spans="1:6">
      <c r="A29" s="1" t="s">
        <v>588</v>
      </c>
      <c r="B29" s="1" t="s">
        <v>588</v>
      </c>
      <c r="C29" s="1" t="s">
        <v>589</v>
      </c>
      <c r="D29" s="1" t="s">
        <v>532</v>
      </c>
      <c r="E29" s="1" t="s">
        <v>978</v>
      </c>
      <c r="F29" s="1" t="s">
        <v>1385</v>
      </c>
    </row>
    <row r="30" spans="1:6">
      <c r="A30" s="1" t="s">
        <v>588</v>
      </c>
      <c r="B30" s="1" t="s">
        <v>590</v>
      </c>
      <c r="C30" s="1" t="s">
        <v>591</v>
      </c>
      <c r="D30" s="1" t="s">
        <v>535</v>
      </c>
      <c r="E30" s="1" t="s">
        <v>1008</v>
      </c>
      <c r="F30" s="1" t="s">
        <v>1386</v>
      </c>
    </row>
    <row r="31" spans="1:6">
      <c r="A31" s="1" t="s">
        <v>588</v>
      </c>
      <c r="B31" s="1" t="s">
        <v>592</v>
      </c>
      <c r="C31" s="1" t="s">
        <v>593</v>
      </c>
      <c r="D31" s="1" t="s">
        <v>541</v>
      </c>
      <c r="E31" s="1" t="s">
        <v>1027</v>
      </c>
      <c r="F31" s="1" t="s">
        <v>1387</v>
      </c>
    </row>
    <row r="32" spans="1:6">
      <c r="A32" s="1" t="s">
        <v>588</v>
      </c>
      <c r="B32" s="1" t="s">
        <v>594</v>
      </c>
      <c r="C32" s="1" t="s">
        <v>595</v>
      </c>
      <c r="D32" s="1" t="s">
        <v>541</v>
      </c>
      <c r="E32" s="1" t="s">
        <v>1043</v>
      </c>
      <c r="F32" s="1" t="s">
        <v>1388</v>
      </c>
    </row>
    <row r="33" spans="1:6">
      <c r="A33" s="1" t="s">
        <v>588</v>
      </c>
      <c r="B33" s="1" t="s">
        <v>596</v>
      </c>
      <c r="C33" s="1" t="s">
        <v>597</v>
      </c>
      <c r="D33" s="1" t="s">
        <v>541</v>
      </c>
      <c r="E33" s="1" t="s">
        <v>1072</v>
      </c>
      <c r="F33" s="1" t="s">
        <v>1389</v>
      </c>
    </row>
    <row r="34" spans="1:6">
      <c r="A34" s="1" t="s">
        <v>588</v>
      </c>
      <c r="B34" s="1" t="s">
        <v>598</v>
      </c>
      <c r="C34" s="1" t="s">
        <v>599</v>
      </c>
      <c r="D34" s="1" t="s">
        <v>541</v>
      </c>
      <c r="E34" s="1" t="s">
        <v>1094</v>
      </c>
      <c r="F34" s="1" t="s">
        <v>1390</v>
      </c>
    </row>
    <row r="35" spans="1:6">
      <c r="A35" s="1" t="s">
        <v>588</v>
      </c>
      <c r="B35" s="1" t="s">
        <v>600</v>
      </c>
      <c r="C35" s="1" t="s">
        <v>601</v>
      </c>
      <c r="D35" s="1" t="s">
        <v>541</v>
      </c>
      <c r="E35" s="1" t="s">
        <v>1112</v>
      </c>
      <c r="F35" s="1" t="s">
        <v>1391</v>
      </c>
    </row>
    <row r="36" spans="1:6">
      <c r="A36" s="1" t="s">
        <v>588</v>
      </c>
      <c r="B36" s="1" t="s">
        <v>602</v>
      </c>
      <c r="C36" s="1" t="s">
        <v>603</v>
      </c>
      <c r="D36" s="1" t="s">
        <v>541</v>
      </c>
      <c r="E36" s="1" t="s">
        <v>1137</v>
      </c>
      <c r="F36" s="1" t="s">
        <v>1392</v>
      </c>
    </row>
    <row r="37" spans="1:6">
      <c r="A37" s="1" t="s">
        <v>588</v>
      </c>
      <c r="B37" s="1" t="s">
        <v>604</v>
      </c>
      <c r="C37" s="1" t="s">
        <v>605</v>
      </c>
      <c r="D37" s="1" t="s">
        <v>541</v>
      </c>
      <c r="E37" s="1" t="s">
        <v>1168</v>
      </c>
      <c r="F37" s="1" t="s">
        <v>1393</v>
      </c>
    </row>
    <row r="38" spans="1:6">
      <c r="A38" s="1" t="s">
        <v>588</v>
      </c>
      <c r="B38" s="1" t="s">
        <v>576</v>
      </c>
      <c r="C38" s="1" t="s">
        <v>606</v>
      </c>
      <c r="D38" s="1" t="s">
        <v>541</v>
      </c>
      <c r="E38" s="1" t="s">
        <v>1179</v>
      </c>
      <c r="F38" s="1" t="s">
        <v>1394</v>
      </c>
    </row>
    <row r="39" spans="1:6">
      <c r="A39" s="1" t="s">
        <v>588</v>
      </c>
      <c r="B39" s="1" t="s">
        <v>607</v>
      </c>
      <c r="C39" s="1" t="s">
        <v>608</v>
      </c>
      <c r="D39" s="1" t="s">
        <v>541</v>
      </c>
      <c r="E39" s="1" t="s">
        <v>1197</v>
      </c>
      <c r="F39" s="1" t="s">
        <v>1395</v>
      </c>
    </row>
    <row r="40" spans="1:6">
      <c r="A40" s="1" t="s">
        <v>588</v>
      </c>
      <c r="B40" s="1" t="s">
        <v>609</v>
      </c>
      <c r="C40" s="1" t="s">
        <v>610</v>
      </c>
      <c r="D40" s="1" t="s">
        <v>541</v>
      </c>
      <c r="E40" s="1" t="s">
        <v>1223</v>
      </c>
      <c r="F40" s="1" t="s">
        <v>1396</v>
      </c>
    </row>
    <row r="41" spans="1:6">
      <c r="A41" s="1" t="s">
        <v>611</v>
      </c>
      <c r="B41" s="1" t="s">
        <v>613</v>
      </c>
      <c r="C41" s="1" t="s">
        <v>614</v>
      </c>
      <c r="D41" s="1" t="s">
        <v>541</v>
      </c>
      <c r="E41" s="1" t="s">
        <v>1245</v>
      </c>
      <c r="F41" s="1" t="s">
        <v>1397</v>
      </c>
    </row>
    <row r="42" spans="1:6">
      <c r="A42" s="1" t="s">
        <v>611</v>
      </c>
      <c r="B42" s="1" t="s">
        <v>615</v>
      </c>
      <c r="C42" s="1" t="s">
        <v>616</v>
      </c>
      <c r="D42" s="1" t="s">
        <v>541</v>
      </c>
      <c r="E42" s="1" t="s">
        <v>1272</v>
      </c>
      <c r="F42" s="1" t="s">
        <v>1398</v>
      </c>
    </row>
    <row r="43" spans="1:6">
      <c r="A43" s="1" t="s">
        <v>611</v>
      </c>
      <c r="B43" s="1" t="s">
        <v>611</v>
      </c>
      <c r="C43" s="1" t="s">
        <v>612</v>
      </c>
      <c r="D43" s="1" t="s">
        <v>532</v>
      </c>
      <c r="E43" s="1" t="s">
        <v>1293</v>
      </c>
      <c r="F43" s="1" t="s">
        <v>1399</v>
      </c>
    </row>
    <row r="44" spans="1:6">
      <c r="A44" s="1" t="s">
        <v>611</v>
      </c>
      <c r="B44" s="1" t="s">
        <v>617</v>
      </c>
      <c r="C44" s="1" t="s">
        <v>618</v>
      </c>
      <c r="D44" s="1" t="s">
        <v>541</v>
      </c>
      <c r="E44" s="1" t="s">
        <v>1313</v>
      </c>
      <c r="F44" s="1" t="s">
        <v>1400</v>
      </c>
    </row>
    <row r="45" spans="1:6">
      <c r="A45" s="1" t="s">
        <v>611</v>
      </c>
      <c r="B45" s="1" t="s">
        <v>619</v>
      </c>
      <c r="C45" s="1" t="s">
        <v>620</v>
      </c>
      <c r="D45" s="1" t="s">
        <v>541</v>
      </c>
      <c r="E45" s="1" t="s">
        <v>1341</v>
      </c>
      <c r="F45" s="1" t="s">
        <v>1401</v>
      </c>
    </row>
    <row r="46" spans="1:6">
      <c r="A46" s="1" t="s">
        <v>611</v>
      </c>
      <c r="B46" s="1" t="s">
        <v>621</v>
      </c>
      <c r="C46" s="1" t="s">
        <v>622</v>
      </c>
      <c r="D46" s="1" t="s">
        <v>541</v>
      </c>
    </row>
    <row r="47" spans="1:6">
      <c r="A47" s="1" t="s">
        <v>611</v>
      </c>
      <c r="B47" s="1" t="s">
        <v>623</v>
      </c>
      <c r="C47" s="1" t="s">
        <v>624</v>
      </c>
      <c r="D47" s="1" t="s">
        <v>541</v>
      </c>
    </row>
    <row r="48" spans="1:6">
      <c r="A48" s="1" t="s">
        <v>611</v>
      </c>
      <c r="B48" s="1" t="s">
        <v>625</v>
      </c>
      <c r="C48" s="1" t="s">
        <v>626</v>
      </c>
      <c r="D48" s="1" t="s">
        <v>541</v>
      </c>
    </row>
    <row r="49" spans="1:4">
      <c r="A49" s="1" t="s">
        <v>611</v>
      </c>
      <c r="B49" s="1" t="s">
        <v>627</v>
      </c>
      <c r="C49" s="1" t="s">
        <v>628</v>
      </c>
      <c r="D49" s="1" t="s">
        <v>541</v>
      </c>
    </row>
    <row r="50" spans="1:4">
      <c r="A50" s="1" t="s">
        <v>629</v>
      </c>
      <c r="B50" s="1" t="s">
        <v>631</v>
      </c>
      <c r="C50" s="1" t="s">
        <v>632</v>
      </c>
      <c r="D50" s="1" t="s">
        <v>541</v>
      </c>
    </row>
    <row r="51" spans="1:4">
      <c r="A51" s="1" t="s">
        <v>629</v>
      </c>
      <c r="B51" s="1" t="s">
        <v>633</v>
      </c>
      <c r="C51" s="1" t="s">
        <v>634</v>
      </c>
      <c r="D51" s="1" t="s">
        <v>541</v>
      </c>
    </row>
    <row r="52" spans="1:4">
      <c r="A52" s="1" t="s">
        <v>629</v>
      </c>
      <c r="B52" s="1" t="s">
        <v>635</v>
      </c>
      <c r="C52" s="1" t="s">
        <v>636</v>
      </c>
      <c r="D52" s="1" t="s">
        <v>541</v>
      </c>
    </row>
    <row r="53" spans="1:4">
      <c r="A53" s="1" t="s">
        <v>629</v>
      </c>
      <c r="B53" s="1" t="s">
        <v>637</v>
      </c>
      <c r="C53" s="1" t="s">
        <v>638</v>
      </c>
      <c r="D53" s="1" t="s">
        <v>541</v>
      </c>
    </row>
    <row r="54" spans="1:4">
      <c r="A54" s="1" t="s">
        <v>629</v>
      </c>
      <c r="B54" s="1" t="s">
        <v>629</v>
      </c>
      <c r="C54" s="1" t="s">
        <v>630</v>
      </c>
      <c r="D54" s="1" t="s">
        <v>532</v>
      </c>
    </row>
    <row r="55" spans="1:4">
      <c r="A55" s="1" t="s">
        <v>629</v>
      </c>
      <c r="B55" s="1" t="s">
        <v>639</v>
      </c>
      <c r="C55" s="1" t="s">
        <v>640</v>
      </c>
      <c r="D55" s="1" t="s">
        <v>541</v>
      </c>
    </row>
    <row r="56" spans="1:4">
      <c r="A56" s="1" t="s">
        <v>629</v>
      </c>
      <c r="B56" s="1" t="s">
        <v>641</v>
      </c>
      <c r="C56" s="1" t="s">
        <v>642</v>
      </c>
      <c r="D56" s="1" t="s">
        <v>541</v>
      </c>
    </row>
    <row r="57" spans="1:4">
      <c r="A57" s="1" t="s">
        <v>629</v>
      </c>
      <c r="B57" s="1" t="s">
        <v>643</v>
      </c>
      <c r="C57" s="1" t="s">
        <v>644</v>
      </c>
      <c r="D57" s="1" t="s">
        <v>541</v>
      </c>
    </row>
    <row r="58" spans="1:4">
      <c r="A58" s="1" t="s">
        <v>629</v>
      </c>
      <c r="B58" s="1" t="s">
        <v>645</v>
      </c>
      <c r="C58" s="1" t="s">
        <v>646</v>
      </c>
      <c r="D58" s="1" t="s">
        <v>541</v>
      </c>
    </row>
    <row r="59" spans="1:4">
      <c r="A59" s="1" t="s">
        <v>629</v>
      </c>
      <c r="B59" s="1" t="s">
        <v>647</v>
      </c>
      <c r="C59" s="1" t="s">
        <v>648</v>
      </c>
      <c r="D59" s="1" t="s">
        <v>541</v>
      </c>
    </row>
    <row r="60" spans="1:4">
      <c r="A60" s="1" t="s">
        <v>629</v>
      </c>
      <c r="B60" s="1" t="s">
        <v>649</v>
      </c>
      <c r="C60" s="1" t="s">
        <v>650</v>
      </c>
      <c r="D60" s="1" t="s">
        <v>541</v>
      </c>
    </row>
    <row r="61" spans="1:4">
      <c r="A61" s="1" t="s">
        <v>651</v>
      </c>
      <c r="B61" s="1" t="s">
        <v>651</v>
      </c>
      <c r="C61" s="1" t="s">
        <v>652</v>
      </c>
      <c r="D61" s="1" t="s">
        <v>653</v>
      </c>
    </row>
    <row r="62" spans="1:4">
      <c r="A62" s="1" t="s">
        <v>654</v>
      </c>
      <c r="B62" s="1" t="s">
        <v>654</v>
      </c>
      <c r="C62" s="1" t="s">
        <v>655</v>
      </c>
      <c r="D62" s="1" t="s">
        <v>653</v>
      </c>
    </row>
    <row r="63" spans="1:4">
      <c r="A63" s="1" t="s">
        <v>656</v>
      </c>
      <c r="B63" s="1" t="s">
        <v>656</v>
      </c>
      <c r="C63" s="1" t="s">
        <v>657</v>
      </c>
      <c r="D63" s="1" t="s">
        <v>653</v>
      </c>
    </row>
    <row r="64" spans="1:4">
      <c r="A64" s="1" t="s">
        <v>658</v>
      </c>
      <c r="B64" s="1" t="s">
        <v>658</v>
      </c>
      <c r="C64" s="1" t="s">
        <v>659</v>
      </c>
      <c r="D64" s="1" t="s">
        <v>653</v>
      </c>
    </row>
    <row r="65" spans="1:4">
      <c r="A65" s="1" t="s">
        <v>660</v>
      </c>
      <c r="B65" s="1" t="s">
        <v>660</v>
      </c>
      <c r="C65" s="1" t="s">
        <v>661</v>
      </c>
      <c r="D65" s="1" t="s">
        <v>653</v>
      </c>
    </row>
    <row r="66" spans="1:4">
      <c r="A66" s="1" t="s">
        <v>662</v>
      </c>
      <c r="B66" s="1" t="s">
        <v>662</v>
      </c>
      <c r="C66" s="1" t="s">
        <v>663</v>
      </c>
      <c r="D66" s="1" t="s">
        <v>653</v>
      </c>
    </row>
    <row r="67" spans="1:4">
      <c r="A67" s="1" t="s">
        <v>664</v>
      </c>
      <c r="B67" s="1" t="s">
        <v>664</v>
      </c>
      <c r="C67" s="1" t="s">
        <v>665</v>
      </c>
      <c r="D67" s="1" t="s">
        <v>653</v>
      </c>
    </row>
    <row r="68" spans="1:4">
      <c r="A68" s="1" t="s">
        <v>666</v>
      </c>
      <c r="B68" s="1" t="s">
        <v>668</v>
      </c>
      <c r="C68" s="1" t="s">
        <v>669</v>
      </c>
      <c r="D68" s="1" t="s">
        <v>541</v>
      </c>
    </row>
    <row r="69" spans="1:4">
      <c r="A69" s="1" t="s">
        <v>666</v>
      </c>
      <c r="B69" s="1" t="s">
        <v>670</v>
      </c>
      <c r="C69" s="1" t="s">
        <v>671</v>
      </c>
      <c r="D69" s="1" t="s">
        <v>538</v>
      </c>
    </row>
    <row r="70" spans="1:4">
      <c r="A70" s="1" t="s">
        <v>666</v>
      </c>
      <c r="B70" s="1" t="s">
        <v>666</v>
      </c>
      <c r="C70" s="1" t="s">
        <v>667</v>
      </c>
      <c r="D70" s="1" t="s">
        <v>532</v>
      </c>
    </row>
    <row r="71" spans="1:4">
      <c r="A71" s="1" t="s">
        <v>666</v>
      </c>
      <c r="B71" s="1" t="s">
        <v>672</v>
      </c>
      <c r="C71" s="1" t="s">
        <v>673</v>
      </c>
      <c r="D71" s="1" t="s">
        <v>535</v>
      </c>
    </row>
    <row r="72" spans="1:4">
      <c r="A72" s="1" t="s">
        <v>666</v>
      </c>
      <c r="B72" s="1" t="s">
        <v>674</v>
      </c>
      <c r="C72" s="1" t="s">
        <v>675</v>
      </c>
      <c r="D72" s="1" t="s">
        <v>541</v>
      </c>
    </row>
    <row r="73" spans="1:4">
      <c r="A73" s="1" t="s">
        <v>666</v>
      </c>
      <c r="B73" s="1" t="s">
        <v>676</v>
      </c>
      <c r="C73" s="1" t="s">
        <v>677</v>
      </c>
      <c r="D73" s="1" t="s">
        <v>538</v>
      </c>
    </row>
    <row r="74" spans="1:4">
      <c r="A74" s="1" t="s">
        <v>666</v>
      </c>
      <c r="B74" s="1" t="s">
        <v>678</v>
      </c>
      <c r="C74" s="1" t="s">
        <v>679</v>
      </c>
      <c r="D74" s="1" t="s">
        <v>541</v>
      </c>
    </row>
    <row r="75" spans="1:4">
      <c r="A75" s="1" t="s">
        <v>666</v>
      </c>
      <c r="B75" s="1" t="s">
        <v>680</v>
      </c>
      <c r="C75" s="1" t="s">
        <v>681</v>
      </c>
      <c r="D75" s="1" t="s">
        <v>541</v>
      </c>
    </row>
    <row r="76" spans="1:4">
      <c r="A76" s="1" t="s">
        <v>666</v>
      </c>
      <c r="B76" s="1" t="s">
        <v>682</v>
      </c>
      <c r="C76" s="1" t="s">
        <v>683</v>
      </c>
      <c r="D76" s="1" t="s">
        <v>541</v>
      </c>
    </row>
    <row r="77" spans="1:4">
      <c r="A77" s="1" t="s">
        <v>666</v>
      </c>
      <c r="B77" s="1" t="s">
        <v>684</v>
      </c>
      <c r="C77" s="1" t="s">
        <v>685</v>
      </c>
      <c r="D77" s="1" t="s">
        <v>541</v>
      </c>
    </row>
    <row r="78" spans="1:4">
      <c r="A78" s="1" t="s">
        <v>666</v>
      </c>
      <c r="B78" s="1" t="s">
        <v>686</v>
      </c>
      <c r="C78" s="1" t="s">
        <v>687</v>
      </c>
      <c r="D78" s="1" t="s">
        <v>541</v>
      </c>
    </row>
    <row r="79" spans="1:4">
      <c r="A79" s="1" t="s">
        <v>666</v>
      </c>
      <c r="B79" s="1" t="s">
        <v>688</v>
      </c>
      <c r="C79" s="1" t="s">
        <v>689</v>
      </c>
      <c r="D79" s="1" t="s">
        <v>541</v>
      </c>
    </row>
    <row r="80" spans="1:4">
      <c r="A80" s="1" t="s">
        <v>666</v>
      </c>
      <c r="B80" s="1" t="s">
        <v>690</v>
      </c>
      <c r="C80" s="1" t="s">
        <v>691</v>
      </c>
      <c r="D80" s="1" t="s">
        <v>541</v>
      </c>
    </row>
    <row r="81" spans="1:4">
      <c r="A81" s="1" t="s">
        <v>666</v>
      </c>
      <c r="B81" s="1" t="s">
        <v>692</v>
      </c>
      <c r="C81" s="1" t="s">
        <v>693</v>
      </c>
      <c r="D81" s="1" t="s">
        <v>541</v>
      </c>
    </row>
    <row r="82" spans="1:4">
      <c r="A82" s="1" t="s">
        <v>666</v>
      </c>
      <c r="B82" s="1" t="s">
        <v>694</v>
      </c>
      <c r="C82" s="1" t="s">
        <v>695</v>
      </c>
      <c r="D82" s="1" t="s">
        <v>541</v>
      </c>
    </row>
    <row r="83" spans="1:4">
      <c r="A83" s="1" t="s">
        <v>666</v>
      </c>
      <c r="B83" s="1" t="s">
        <v>696</v>
      </c>
      <c r="C83" s="1" t="s">
        <v>697</v>
      </c>
      <c r="D83" s="1" t="s">
        <v>541</v>
      </c>
    </row>
    <row r="84" spans="1:4">
      <c r="A84" s="1" t="s">
        <v>698</v>
      </c>
      <c r="B84" s="1" t="s">
        <v>700</v>
      </c>
      <c r="C84" s="1" t="s">
        <v>701</v>
      </c>
      <c r="D84" s="1" t="s">
        <v>541</v>
      </c>
    </row>
    <row r="85" spans="1:4">
      <c r="A85" s="1" t="s">
        <v>698</v>
      </c>
      <c r="B85" s="1" t="s">
        <v>702</v>
      </c>
      <c r="C85" s="1" t="s">
        <v>703</v>
      </c>
      <c r="D85" s="1" t="s">
        <v>541</v>
      </c>
    </row>
    <row r="86" spans="1:4">
      <c r="A86" s="1" t="s">
        <v>698</v>
      </c>
      <c r="B86" s="1" t="s">
        <v>698</v>
      </c>
      <c r="C86" s="1" t="s">
        <v>699</v>
      </c>
      <c r="D86" s="1" t="s">
        <v>532</v>
      </c>
    </row>
    <row r="87" spans="1:4">
      <c r="A87" s="1" t="s">
        <v>698</v>
      </c>
      <c r="B87" s="1" t="s">
        <v>704</v>
      </c>
      <c r="C87" s="1" t="s">
        <v>705</v>
      </c>
      <c r="D87" s="1" t="s">
        <v>541</v>
      </c>
    </row>
    <row r="88" spans="1:4">
      <c r="A88" s="1" t="s">
        <v>698</v>
      </c>
      <c r="B88" s="1" t="s">
        <v>706</v>
      </c>
      <c r="C88" s="1" t="s">
        <v>707</v>
      </c>
      <c r="D88" s="1" t="s">
        <v>541</v>
      </c>
    </row>
    <row r="89" spans="1:4">
      <c r="A89" s="1" t="s">
        <v>698</v>
      </c>
      <c r="B89" s="1" t="s">
        <v>708</v>
      </c>
      <c r="C89" s="1" t="s">
        <v>709</v>
      </c>
      <c r="D89" s="1" t="s">
        <v>541</v>
      </c>
    </row>
    <row r="90" spans="1:4">
      <c r="A90" s="1" t="s">
        <v>698</v>
      </c>
      <c r="B90" s="1" t="s">
        <v>710</v>
      </c>
      <c r="C90" s="1" t="s">
        <v>711</v>
      </c>
      <c r="D90" s="1" t="s">
        <v>541</v>
      </c>
    </row>
    <row r="91" spans="1:4">
      <c r="A91" s="1" t="s">
        <v>698</v>
      </c>
      <c r="B91" s="1" t="s">
        <v>712</v>
      </c>
      <c r="C91" s="1" t="s">
        <v>713</v>
      </c>
      <c r="D91" s="1" t="s">
        <v>541</v>
      </c>
    </row>
    <row r="92" spans="1:4">
      <c r="A92" s="1" t="s">
        <v>698</v>
      </c>
      <c r="B92" s="1" t="s">
        <v>714</v>
      </c>
      <c r="C92" s="1" t="s">
        <v>715</v>
      </c>
      <c r="D92" s="1" t="s">
        <v>541</v>
      </c>
    </row>
    <row r="93" spans="1:4">
      <c r="A93" s="1" t="s">
        <v>698</v>
      </c>
      <c r="B93" s="1" t="s">
        <v>716</v>
      </c>
      <c r="C93" s="1" t="s">
        <v>717</v>
      </c>
      <c r="D93" s="1" t="s">
        <v>541</v>
      </c>
    </row>
    <row r="94" spans="1:4">
      <c r="A94" s="1" t="s">
        <v>698</v>
      </c>
      <c r="B94" s="1" t="s">
        <v>718</v>
      </c>
      <c r="C94" s="1" t="s">
        <v>719</v>
      </c>
      <c r="D94" s="1" t="s">
        <v>541</v>
      </c>
    </row>
    <row r="95" spans="1:4">
      <c r="A95" s="1" t="s">
        <v>720</v>
      </c>
      <c r="B95" s="1" t="s">
        <v>722</v>
      </c>
      <c r="C95" s="1" t="s">
        <v>723</v>
      </c>
      <c r="D95" s="1" t="s">
        <v>541</v>
      </c>
    </row>
    <row r="96" spans="1:4">
      <c r="A96" s="1" t="s">
        <v>720</v>
      </c>
      <c r="B96" s="1" t="s">
        <v>724</v>
      </c>
      <c r="C96" s="1" t="s">
        <v>725</v>
      </c>
      <c r="D96" s="1" t="s">
        <v>541</v>
      </c>
    </row>
    <row r="97" spans="1:4">
      <c r="A97" s="1" t="s">
        <v>720</v>
      </c>
      <c r="B97" s="1" t="s">
        <v>720</v>
      </c>
      <c r="C97" s="1" t="s">
        <v>721</v>
      </c>
      <c r="D97" s="1" t="s">
        <v>532</v>
      </c>
    </row>
    <row r="98" spans="1:4">
      <c r="A98" s="1" t="s">
        <v>720</v>
      </c>
      <c r="B98" s="1" t="s">
        <v>726</v>
      </c>
      <c r="C98" s="1" t="s">
        <v>727</v>
      </c>
      <c r="D98" s="1" t="s">
        <v>541</v>
      </c>
    </row>
    <row r="99" spans="1:4">
      <c r="A99" s="1" t="s">
        <v>720</v>
      </c>
      <c r="B99" s="1" t="s">
        <v>728</v>
      </c>
      <c r="C99" s="1" t="s">
        <v>729</v>
      </c>
      <c r="D99" s="1" t="s">
        <v>535</v>
      </c>
    </row>
    <row r="100" spans="1:4">
      <c r="A100" s="1" t="s">
        <v>720</v>
      </c>
      <c r="B100" s="1" t="s">
        <v>730</v>
      </c>
      <c r="C100" s="1" t="s">
        <v>731</v>
      </c>
      <c r="D100" s="1" t="s">
        <v>541</v>
      </c>
    </row>
    <row r="101" spans="1:4">
      <c r="A101" s="1" t="s">
        <v>720</v>
      </c>
      <c r="B101" s="1" t="s">
        <v>732</v>
      </c>
      <c r="C101" s="1" t="s">
        <v>733</v>
      </c>
      <c r="D101" s="1" t="s">
        <v>541</v>
      </c>
    </row>
    <row r="102" spans="1:4">
      <c r="A102" s="1" t="s">
        <v>720</v>
      </c>
      <c r="B102" s="1" t="s">
        <v>734</v>
      </c>
      <c r="C102" s="1" t="s">
        <v>735</v>
      </c>
      <c r="D102" s="1" t="s">
        <v>541</v>
      </c>
    </row>
    <row r="103" spans="1:4">
      <c r="A103" s="1" t="s">
        <v>720</v>
      </c>
      <c r="B103" s="1" t="s">
        <v>736</v>
      </c>
      <c r="C103" s="1" t="s">
        <v>737</v>
      </c>
      <c r="D103" s="1" t="s">
        <v>541</v>
      </c>
    </row>
    <row r="104" spans="1:4">
      <c r="A104" s="1" t="s">
        <v>720</v>
      </c>
      <c r="B104" s="1" t="s">
        <v>738</v>
      </c>
      <c r="C104" s="1" t="s">
        <v>739</v>
      </c>
      <c r="D104" s="1" t="s">
        <v>541</v>
      </c>
    </row>
    <row r="105" spans="1:4">
      <c r="A105" s="1" t="s">
        <v>720</v>
      </c>
      <c r="B105" s="1" t="s">
        <v>740</v>
      </c>
      <c r="C105" s="1" t="s">
        <v>741</v>
      </c>
      <c r="D105" s="1" t="s">
        <v>541</v>
      </c>
    </row>
    <row r="106" spans="1:4">
      <c r="A106" s="1" t="s">
        <v>720</v>
      </c>
      <c r="B106" s="1" t="s">
        <v>742</v>
      </c>
      <c r="C106" s="1" t="s">
        <v>743</v>
      </c>
      <c r="D106" s="1" t="s">
        <v>541</v>
      </c>
    </row>
    <row r="107" spans="1:4">
      <c r="A107" s="1" t="s">
        <v>744</v>
      </c>
      <c r="B107" s="1" t="s">
        <v>746</v>
      </c>
      <c r="C107" s="1" t="s">
        <v>747</v>
      </c>
      <c r="D107" s="1" t="s">
        <v>541</v>
      </c>
    </row>
    <row r="108" spans="1:4">
      <c r="A108" s="1" t="s">
        <v>744</v>
      </c>
      <c r="B108" s="1" t="s">
        <v>744</v>
      </c>
      <c r="C108" s="1" t="s">
        <v>745</v>
      </c>
      <c r="D108" s="1" t="s">
        <v>532</v>
      </c>
    </row>
    <row r="109" spans="1:4">
      <c r="A109" s="1" t="s">
        <v>744</v>
      </c>
      <c r="B109" s="1" t="s">
        <v>748</v>
      </c>
      <c r="C109" s="1" t="s">
        <v>749</v>
      </c>
      <c r="D109" s="1" t="s">
        <v>541</v>
      </c>
    </row>
    <row r="110" spans="1:4">
      <c r="A110" s="1" t="s">
        <v>744</v>
      </c>
      <c r="B110" s="1" t="s">
        <v>750</v>
      </c>
      <c r="C110" s="1" t="s">
        <v>751</v>
      </c>
      <c r="D110" s="1" t="s">
        <v>541</v>
      </c>
    </row>
    <row r="111" spans="1:4">
      <c r="A111" s="1" t="s">
        <v>744</v>
      </c>
      <c r="B111" s="1" t="s">
        <v>752</v>
      </c>
      <c r="C111" s="1" t="s">
        <v>753</v>
      </c>
      <c r="D111" s="1" t="s">
        <v>535</v>
      </c>
    </row>
    <row r="112" spans="1:4">
      <c r="A112" s="1" t="s">
        <v>744</v>
      </c>
      <c r="B112" s="1" t="s">
        <v>754</v>
      </c>
      <c r="C112" s="1" t="s">
        <v>755</v>
      </c>
      <c r="D112" s="1" t="s">
        <v>541</v>
      </c>
    </row>
    <row r="113" spans="1:4">
      <c r="A113" s="1" t="s">
        <v>744</v>
      </c>
      <c r="B113" s="1" t="s">
        <v>756</v>
      </c>
      <c r="C113" s="1" t="s">
        <v>757</v>
      </c>
      <c r="D113" s="1" t="s">
        <v>541</v>
      </c>
    </row>
    <row r="114" spans="1:4">
      <c r="A114" s="1" t="s">
        <v>744</v>
      </c>
      <c r="B114" s="1" t="s">
        <v>758</v>
      </c>
      <c r="C114" s="1" t="s">
        <v>759</v>
      </c>
      <c r="D114" s="1" t="s">
        <v>541</v>
      </c>
    </row>
    <row r="115" spans="1:4">
      <c r="A115" s="1" t="s">
        <v>744</v>
      </c>
      <c r="B115" s="1" t="s">
        <v>760</v>
      </c>
      <c r="C115" s="1" t="s">
        <v>761</v>
      </c>
      <c r="D115" s="1" t="s">
        <v>541</v>
      </c>
    </row>
    <row r="116" spans="1:4">
      <c r="A116" s="1" t="s">
        <v>744</v>
      </c>
      <c r="B116" s="1" t="s">
        <v>762</v>
      </c>
      <c r="C116" s="1" t="s">
        <v>763</v>
      </c>
      <c r="D116" s="1" t="s">
        <v>541</v>
      </c>
    </row>
    <row r="117" spans="1:4">
      <c r="A117" s="1" t="s">
        <v>764</v>
      </c>
      <c r="B117" s="1" t="s">
        <v>766</v>
      </c>
      <c r="C117" s="1" t="s">
        <v>767</v>
      </c>
      <c r="D117" s="1" t="s">
        <v>541</v>
      </c>
    </row>
    <row r="118" spans="1:4">
      <c r="A118" s="1" t="s">
        <v>764</v>
      </c>
      <c r="B118" s="1" t="s">
        <v>768</v>
      </c>
      <c r="C118" s="1" t="s">
        <v>769</v>
      </c>
      <c r="D118" s="1" t="s">
        <v>541</v>
      </c>
    </row>
    <row r="119" spans="1:4">
      <c r="A119" s="1" t="s">
        <v>764</v>
      </c>
      <c r="B119" s="1" t="s">
        <v>770</v>
      </c>
      <c r="C119" s="1" t="s">
        <v>771</v>
      </c>
      <c r="D119" s="1" t="s">
        <v>541</v>
      </c>
    </row>
    <row r="120" spans="1:4">
      <c r="A120" s="1" t="s">
        <v>764</v>
      </c>
      <c r="B120" s="1" t="s">
        <v>772</v>
      </c>
      <c r="C120" s="1" t="s">
        <v>773</v>
      </c>
      <c r="D120" s="1" t="s">
        <v>541</v>
      </c>
    </row>
    <row r="121" spans="1:4">
      <c r="A121" s="1" t="s">
        <v>764</v>
      </c>
      <c r="B121" s="1" t="s">
        <v>764</v>
      </c>
      <c r="C121" s="1" t="s">
        <v>765</v>
      </c>
      <c r="D121" s="1" t="s">
        <v>532</v>
      </c>
    </row>
    <row r="122" spans="1:4">
      <c r="A122" s="1" t="s">
        <v>764</v>
      </c>
      <c r="B122" s="1" t="s">
        <v>774</v>
      </c>
      <c r="C122" s="1" t="s">
        <v>775</v>
      </c>
      <c r="D122" s="1" t="s">
        <v>541</v>
      </c>
    </row>
    <row r="123" spans="1:4">
      <c r="A123" s="1" t="s">
        <v>764</v>
      </c>
      <c r="B123" s="1" t="s">
        <v>776</v>
      </c>
      <c r="C123" s="1" t="s">
        <v>777</v>
      </c>
      <c r="D123" s="1" t="s">
        <v>541</v>
      </c>
    </row>
    <row r="124" spans="1:4">
      <c r="A124" s="1" t="s">
        <v>764</v>
      </c>
      <c r="B124" s="1" t="s">
        <v>778</v>
      </c>
      <c r="C124" s="1" t="s">
        <v>779</v>
      </c>
      <c r="D124" s="1" t="s">
        <v>541</v>
      </c>
    </row>
    <row r="125" spans="1:4">
      <c r="A125" s="1" t="s">
        <v>764</v>
      </c>
      <c r="B125" s="1" t="s">
        <v>780</v>
      </c>
      <c r="C125" s="1" t="s">
        <v>781</v>
      </c>
      <c r="D125" s="1" t="s">
        <v>541</v>
      </c>
    </row>
    <row r="126" spans="1:4">
      <c r="A126" s="1" t="s">
        <v>782</v>
      </c>
      <c r="B126" s="1" t="s">
        <v>784</v>
      </c>
      <c r="C126" s="1" t="s">
        <v>785</v>
      </c>
      <c r="D126" s="1" t="s">
        <v>541</v>
      </c>
    </row>
    <row r="127" spans="1:4">
      <c r="A127" s="1" t="s">
        <v>782</v>
      </c>
      <c r="B127" s="1" t="s">
        <v>782</v>
      </c>
      <c r="C127" s="1" t="s">
        <v>783</v>
      </c>
      <c r="D127" s="1" t="s">
        <v>532</v>
      </c>
    </row>
    <row r="128" spans="1:4">
      <c r="A128" s="1" t="s">
        <v>782</v>
      </c>
      <c r="B128" s="1" t="s">
        <v>786</v>
      </c>
      <c r="C128" s="1" t="s">
        <v>787</v>
      </c>
      <c r="D128" s="1" t="s">
        <v>541</v>
      </c>
    </row>
    <row r="129" spans="1:4">
      <c r="A129" s="1" t="s">
        <v>782</v>
      </c>
      <c r="B129" s="1" t="s">
        <v>788</v>
      </c>
      <c r="C129" s="1" t="s">
        <v>789</v>
      </c>
      <c r="D129" s="1" t="s">
        <v>541</v>
      </c>
    </row>
    <row r="130" spans="1:4">
      <c r="A130" s="1" t="s">
        <v>782</v>
      </c>
      <c r="B130" s="1" t="s">
        <v>790</v>
      </c>
      <c r="C130" s="1" t="s">
        <v>791</v>
      </c>
      <c r="D130" s="1" t="s">
        <v>541</v>
      </c>
    </row>
    <row r="131" spans="1:4">
      <c r="A131" s="1" t="s">
        <v>782</v>
      </c>
      <c r="B131" s="1" t="s">
        <v>792</v>
      </c>
      <c r="C131" s="1" t="s">
        <v>793</v>
      </c>
      <c r="D131" s="1" t="s">
        <v>541</v>
      </c>
    </row>
    <row r="132" spans="1:4">
      <c r="A132" s="1" t="s">
        <v>782</v>
      </c>
      <c r="B132" s="1" t="s">
        <v>794</v>
      </c>
      <c r="C132" s="1" t="s">
        <v>795</v>
      </c>
      <c r="D132" s="1" t="s">
        <v>541</v>
      </c>
    </row>
    <row r="133" spans="1:4">
      <c r="A133" s="1" t="s">
        <v>782</v>
      </c>
      <c r="B133" s="1" t="s">
        <v>796</v>
      </c>
      <c r="C133" s="1" t="s">
        <v>797</v>
      </c>
      <c r="D133" s="1" t="s">
        <v>541</v>
      </c>
    </row>
    <row r="134" spans="1:4">
      <c r="A134" s="1" t="s">
        <v>782</v>
      </c>
      <c r="B134" s="1" t="s">
        <v>798</v>
      </c>
      <c r="C134" s="1" t="s">
        <v>799</v>
      </c>
      <c r="D134" s="1" t="s">
        <v>541</v>
      </c>
    </row>
    <row r="135" spans="1:4">
      <c r="A135" s="1" t="s">
        <v>782</v>
      </c>
      <c r="B135" s="1" t="s">
        <v>800</v>
      </c>
      <c r="C135" s="1" t="s">
        <v>801</v>
      </c>
      <c r="D135" s="1" t="s">
        <v>541</v>
      </c>
    </row>
    <row r="136" spans="1:4">
      <c r="A136" s="1" t="s">
        <v>802</v>
      </c>
      <c r="B136" s="1" t="s">
        <v>804</v>
      </c>
      <c r="C136" s="1" t="s">
        <v>805</v>
      </c>
      <c r="D136" s="1" t="s">
        <v>541</v>
      </c>
    </row>
    <row r="137" spans="1:4">
      <c r="A137" s="1" t="s">
        <v>802</v>
      </c>
      <c r="B137" s="1" t="s">
        <v>806</v>
      </c>
      <c r="C137" s="1" t="s">
        <v>807</v>
      </c>
      <c r="D137" s="1" t="s">
        <v>541</v>
      </c>
    </row>
    <row r="138" spans="1:4">
      <c r="A138" s="1" t="s">
        <v>802</v>
      </c>
      <c r="B138" s="1" t="s">
        <v>808</v>
      </c>
      <c r="C138" s="1" t="s">
        <v>809</v>
      </c>
      <c r="D138" s="1" t="s">
        <v>541</v>
      </c>
    </row>
    <row r="139" spans="1:4">
      <c r="A139" s="1" t="s">
        <v>802</v>
      </c>
      <c r="B139" s="1" t="s">
        <v>810</v>
      </c>
      <c r="C139" s="1" t="s">
        <v>811</v>
      </c>
      <c r="D139" s="1" t="s">
        <v>541</v>
      </c>
    </row>
    <row r="140" spans="1:4">
      <c r="A140" s="1" t="s">
        <v>802</v>
      </c>
      <c r="B140" s="1" t="s">
        <v>802</v>
      </c>
      <c r="C140" s="1" t="s">
        <v>803</v>
      </c>
      <c r="D140" s="1" t="s">
        <v>532</v>
      </c>
    </row>
    <row r="141" spans="1:4">
      <c r="A141" s="1" t="s">
        <v>802</v>
      </c>
      <c r="B141" s="1" t="s">
        <v>812</v>
      </c>
      <c r="C141" s="1" t="s">
        <v>813</v>
      </c>
      <c r="D141" s="1" t="s">
        <v>535</v>
      </c>
    </row>
    <row r="142" spans="1:4">
      <c r="A142" s="1" t="s">
        <v>802</v>
      </c>
      <c r="B142" s="1" t="s">
        <v>814</v>
      </c>
      <c r="C142" s="1" t="s">
        <v>815</v>
      </c>
      <c r="D142" s="1" t="s">
        <v>541</v>
      </c>
    </row>
    <row r="143" spans="1:4">
      <c r="A143" s="1" t="s">
        <v>802</v>
      </c>
      <c r="B143" s="1" t="s">
        <v>816</v>
      </c>
      <c r="C143" s="1" t="s">
        <v>817</v>
      </c>
      <c r="D143" s="1" t="s">
        <v>541</v>
      </c>
    </row>
    <row r="144" spans="1:4">
      <c r="A144" s="1" t="s">
        <v>802</v>
      </c>
      <c r="B144" s="1" t="s">
        <v>818</v>
      </c>
      <c r="C144" s="1" t="s">
        <v>819</v>
      </c>
      <c r="D144" s="1" t="s">
        <v>541</v>
      </c>
    </row>
    <row r="145" spans="1:4">
      <c r="A145" s="1" t="s">
        <v>802</v>
      </c>
      <c r="B145" s="1" t="s">
        <v>820</v>
      </c>
      <c r="C145" s="1" t="s">
        <v>821</v>
      </c>
      <c r="D145" s="1" t="s">
        <v>541</v>
      </c>
    </row>
    <row r="146" spans="1:4">
      <c r="A146" s="1" t="s">
        <v>802</v>
      </c>
      <c r="B146" s="1" t="s">
        <v>822</v>
      </c>
      <c r="C146" s="1" t="s">
        <v>823</v>
      </c>
      <c r="D146" s="1" t="s">
        <v>541</v>
      </c>
    </row>
    <row r="147" spans="1:4">
      <c r="A147" s="1" t="s">
        <v>824</v>
      </c>
      <c r="B147" s="1" t="s">
        <v>826</v>
      </c>
      <c r="C147" s="1" t="s">
        <v>827</v>
      </c>
      <c r="D147" s="1" t="s">
        <v>541</v>
      </c>
    </row>
    <row r="148" spans="1:4">
      <c r="A148" s="1" t="s">
        <v>824</v>
      </c>
      <c r="B148" s="1" t="s">
        <v>824</v>
      </c>
      <c r="C148" s="1" t="s">
        <v>825</v>
      </c>
      <c r="D148" s="1" t="s">
        <v>532</v>
      </c>
    </row>
    <row r="149" spans="1:4">
      <c r="A149" s="1" t="s">
        <v>824</v>
      </c>
      <c r="B149" s="1" t="s">
        <v>828</v>
      </c>
      <c r="C149" s="1" t="s">
        <v>829</v>
      </c>
      <c r="D149" s="1" t="s">
        <v>541</v>
      </c>
    </row>
    <row r="150" spans="1:4">
      <c r="A150" s="1" t="s">
        <v>824</v>
      </c>
      <c r="B150" s="1" t="s">
        <v>830</v>
      </c>
      <c r="C150" s="1" t="s">
        <v>831</v>
      </c>
      <c r="D150" s="1" t="s">
        <v>541</v>
      </c>
    </row>
    <row r="151" spans="1:4">
      <c r="A151" s="1" t="s">
        <v>824</v>
      </c>
      <c r="B151" s="1" t="s">
        <v>832</v>
      </c>
      <c r="C151" s="1" t="s">
        <v>833</v>
      </c>
      <c r="D151" s="1" t="s">
        <v>541</v>
      </c>
    </row>
    <row r="152" spans="1:4">
      <c r="A152" s="1" t="s">
        <v>824</v>
      </c>
      <c r="B152" s="1" t="s">
        <v>834</v>
      </c>
      <c r="C152" s="1" t="s">
        <v>835</v>
      </c>
      <c r="D152" s="1" t="s">
        <v>541</v>
      </c>
    </row>
    <row r="153" spans="1:4">
      <c r="A153" s="1" t="s">
        <v>824</v>
      </c>
      <c r="B153" s="1" t="s">
        <v>836</v>
      </c>
      <c r="C153" s="1" t="s">
        <v>837</v>
      </c>
      <c r="D153" s="1" t="s">
        <v>541</v>
      </c>
    </row>
    <row r="154" spans="1:4">
      <c r="A154" s="1" t="s">
        <v>824</v>
      </c>
      <c r="B154" s="1" t="s">
        <v>838</v>
      </c>
      <c r="C154" s="1" t="s">
        <v>839</v>
      </c>
      <c r="D154" s="1" t="s">
        <v>541</v>
      </c>
    </row>
    <row r="155" spans="1:4">
      <c r="A155" s="1" t="s">
        <v>824</v>
      </c>
      <c r="B155" s="1" t="s">
        <v>840</v>
      </c>
      <c r="C155" s="1" t="s">
        <v>841</v>
      </c>
      <c r="D155" s="1" t="s">
        <v>541</v>
      </c>
    </row>
    <row r="156" spans="1:4">
      <c r="A156" s="1" t="s">
        <v>824</v>
      </c>
      <c r="B156" s="1" t="s">
        <v>842</v>
      </c>
      <c r="C156" s="1" t="s">
        <v>843</v>
      </c>
      <c r="D156" s="1" t="s">
        <v>541</v>
      </c>
    </row>
    <row r="157" spans="1:4">
      <c r="A157" s="1" t="s">
        <v>824</v>
      </c>
      <c r="B157" s="1" t="s">
        <v>844</v>
      </c>
      <c r="C157" s="1" t="s">
        <v>845</v>
      </c>
      <c r="D157" s="1" t="s">
        <v>541</v>
      </c>
    </row>
    <row r="158" spans="1:4">
      <c r="A158" s="1" t="s">
        <v>846</v>
      </c>
      <c r="B158" s="1" t="s">
        <v>846</v>
      </c>
      <c r="C158" s="1" t="s">
        <v>847</v>
      </c>
      <c r="D158" s="1" t="s">
        <v>532</v>
      </c>
    </row>
    <row r="159" spans="1:4">
      <c r="A159" s="1" t="s">
        <v>846</v>
      </c>
      <c r="B159" s="1" t="s">
        <v>848</v>
      </c>
      <c r="C159" s="1" t="s">
        <v>849</v>
      </c>
      <c r="D159" s="1" t="s">
        <v>541</v>
      </c>
    </row>
    <row r="160" spans="1:4">
      <c r="A160" s="1" t="s">
        <v>846</v>
      </c>
      <c r="B160" s="1" t="s">
        <v>850</v>
      </c>
      <c r="C160" s="1" t="s">
        <v>851</v>
      </c>
      <c r="D160" s="1" t="s">
        <v>541</v>
      </c>
    </row>
    <row r="161" spans="1:4">
      <c r="A161" s="1" t="s">
        <v>846</v>
      </c>
      <c r="B161" s="1" t="s">
        <v>852</v>
      </c>
      <c r="C161" s="1" t="s">
        <v>853</v>
      </c>
      <c r="D161" s="1" t="s">
        <v>541</v>
      </c>
    </row>
    <row r="162" spans="1:4">
      <c r="A162" s="1" t="s">
        <v>846</v>
      </c>
      <c r="B162" s="1" t="s">
        <v>854</v>
      </c>
      <c r="C162" s="1" t="s">
        <v>855</v>
      </c>
      <c r="D162" s="1" t="s">
        <v>541</v>
      </c>
    </row>
    <row r="163" spans="1:4">
      <c r="A163" s="1" t="s">
        <v>846</v>
      </c>
      <c r="B163" s="1" t="s">
        <v>832</v>
      </c>
      <c r="C163" s="1" t="s">
        <v>856</v>
      </c>
      <c r="D163" s="1" t="s">
        <v>541</v>
      </c>
    </row>
    <row r="164" spans="1:4">
      <c r="A164" s="1" t="s">
        <v>846</v>
      </c>
      <c r="B164" s="1" t="s">
        <v>857</v>
      </c>
      <c r="C164" s="1" t="s">
        <v>858</v>
      </c>
      <c r="D164" s="1" t="s">
        <v>541</v>
      </c>
    </row>
    <row r="165" spans="1:4">
      <c r="A165" s="1" t="s">
        <v>859</v>
      </c>
      <c r="B165" s="1" t="s">
        <v>861</v>
      </c>
      <c r="C165" s="1" t="s">
        <v>862</v>
      </c>
      <c r="D165" s="1" t="s">
        <v>541</v>
      </c>
    </row>
    <row r="166" spans="1:4">
      <c r="A166" s="1" t="s">
        <v>859</v>
      </c>
      <c r="B166" s="1" t="s">
        <v>863</v>
      </c>
      <c r="C166" s="1" t="s">
        <v>864</v>
      </c>
      <c r="D166" s="1" t="s">
        <v>541</v>
      </c>
    </row>
    <row r="167" spans="1:4">
      <c r="A167" s="1" t="s">
        <v>859</v>
      </c>
      <c r="B167" s="1" t="s">
        <v>865</v>
      </c>
      <c r="C167" s="1" t="s">
        <v>866</v>
      </c>
      <c r="D167" s="1" t="s">
        <v>541</v>
      </c>
    </row>
    <row r="168" spans="1:4">
      <c r="A168" s="1" t="s">
        <v>859</v>
      </c>
      <c r="B168" s="1" t="s">
        <v>867</v>
      </c>
      <c r="C168" s="1" t="s">
        <v>868</v>
      </c>
      <c r="D168" s="1" t="s">
        <v>541</v>
      </c>
    </row>
    <row r="169" spans="1:4">
      <c r="A169" s="1" t="s">
        <v>859</v>
      </c>
      <c r="B169" s="1" t="s">
        <v>859</v>
      </c>
      <c r="C169" s="1" t="s">
        <v>860</v>
      </c>
      <c r="D169" s="1" t="s">
        <v>532</v>
      </c>
    </row>
    <row r="170" spans="1:4">
      <c r="A170" s="1" t="s">
        <v>859</v>
      </c>
      <c r="B170" s="1" t="s">
        <v>869</v>
      </c>
      <c r="C170" s="1" t="s">
        <v>870</v>
      </c>
      <c r="D170" s="1" t="s">
        <v>535</v>
      </c>
    </row>
    <row r="171" spans="1:4">
      <c r="A171" s="1" t="s">
        <v>859</v>
      </c>
      <c r="B171" s="1" t="s">
        <v>871</v>
      </c>
      <c r="C171" s="1" t="s">
        <v>872</v>
      </c>
      <c r="D171" s="1" t="s">
        <v>541</v>
      </c>
    </row>
    <row r="172" spans="1:4">
      <c r="A172" s="1" t="s">
        <v>859</v>
      </c>
      <c r="B172" s="1" t="s">
        <v>873</v>
      </c>
      <c r="C172" s="1" t="s">
        <v>874</v>
      </c>
      <c r="D172" s="1" t="s">
        <v>541</v>
      </c>
    </row>
    <row r="173" spans="1:4">
      <c r="A173" s="1" t="s">
        <v>859</v>
      </c>
      <c r="B173" s="1" t="s">
        <v>875</v>
      </c>
      <c r="C173" s="1" t="s">
        <v>876</v>
      </c>
      <c r="D173" s="1" t="s">
        <v>541</v>
      </c>
    </row>
    <row r="174" spans="1:4">
      <c r="A174" s="1" t="s">
        <v>859</v>
      </c>
      <c r="B174" s="1" t="s">
        <v>877</v>
      </c>
      <c r="C174" s="1" t="s">
        <v>878</v>
      </c>
      <c r="D174" s="1" t="s">
        <v>541</v>
      </c>
    </row>
    <row r="175" spans="1:4">
      <c r="A175" s="1" t="s">
        <v>859</v>
      </c>
      <c r="B175" s="1" t="s">
        <v>879</v>
      </c>
      <c r="C175" s="1" t="s">
        <v>880</v>
      </c>
      <c r="D175" s="1" t="s">
        <v>541</v>
      </c>
    </row>
    <row r="176" spans="1:4">
      <c r="A176" s="1" t="s">
        <v>859</v>
      </c>
      <c r="B176" s="1" t="s">
        <v>881</v>
      </c>
      <c r="C176" s="1" t="s">
        <v>882</v>
      </c>
      <c r="D176" s="1" t="s">
        <v>541</v>
      </c>
    </row>
    <row r="177" spans="1:4">
      <c r="A177" s="1" t="s">
        <v>883</v>
      </c>
      <c r="B177" s="1" t="s">
        <v>885</v>
      </c>
      <c r="C177" s="1" t="s">
        <v>886</v>
      </c>
      <c r="D177" s="1" t="s">
        <v>541</v>
      </c>
    </row>
    <row r="178" spans="1:4">
      <c r="A178" s="1" t="s">
        <v>883</v>
      </c>
      <c r="B178" s="1" t="s">
        <v>887</v>
      </c>
      <c r="C178" s="1" t="s">
        <v>888</v>
      </c>
      <c r="D178" s="1" t="s">
        <v>541</v>
      </c>
    </row>
    <row r="179" spans="1:4">
      <c r="A179" s="1" t="s">
        <v>883</v>
      </c>
      <c r="B179" s="1" t="s">
        <v>889</v>
      </c>
      <c r="C179" s="1" t="s">
        <v>890</v>
      </c>
      <c r="D179" s="1" t="s">
        <v>541</v>
      </c>
    </row>
    <row r="180" spans="1:4">
      <c r="A180" s="1" t="s">
        <v>883</v>
      </c>
      <c r="B180" s="1" t="s">
        <v>883</v>
      </c>
      <c r="C180" s="1" t="s">
        <v>884</v>
      </c>
      <c r="D180" s="1" t="s">
        <v>532</v>
      </c>
    </row>
    <row r="181" spans="1:4">
      <c r="A181" s="1" t="s">
        <v>883</v>
      </c>
      <c r="B181" s="1" t="s">
        <v>891</v>
      </c>
      <c r="C181" s="1" t="s">
        <v>892</v>
      </c>
      <c r="D181" s="1" t="s">
        <v>535</v>
      </c>
    </row>
    <row r="182" spans="1:4">
      <c r="A182" s="1" t="s">
        <v>883</v>
      </c>
      <c r="B182" s="1" t="s">
        <v>893</v>
      </c>
      <c r="C182" s="1" t="s">
        <v>894</v>
      </c>
      <c r="D182" s="1" t="s">
        <v>541</v>
      </c>
    </row>
    <row r="183" spans="1:4">
      <c r="A183" s="1" t="s">
        <v>883</v>
      </c>
      <c r="B183" s="1" t="s">
        <v>895</v>
      </c>
      <c r="C183" s="1" t="s">
        <v>896</v>
      </c>
      <c r="D183" s="1" t="s">
        <v>541</v>
      </c>
    </row>
    <row r="184" spans="1:4">
      <c r="A184" s="1" t="s">
        <v>883</v>
      </c>
      <c r="B184" s="1" t="s">
        <v>832</v>
      </c>
      <c r="C184" s="1" t="s">
        <v>897</v>
      </c>
      <c r="D184" s="1" t="s">
        <v>541</v>
      </c>
    </row>
    <row r="185" spans="1:4">
      <c r="A185" s="1" t="s">
        <v>883</v>
      </c>
      <c r="B185" s="1" t="s">
        <v>898</v>
      </c>
      <c r="C185" s="1" t="s">
        <v>899</v>
      </c>
      <c r="D185" s="1" t="s">
        <v>541</v>
      </c>
    </row>
    <row r="186" spans="1:4">
      <c r="A186" s="1" t="s">
        <v>883</v>
      </c>
      <c r="B186" s="1" t="s">
        <v>602</v>
      </c>
      <c r="C186" s="1" t="s">
        <v>900</v>
      </c>
      <c r="D186" s="1" t="s">
        <v>541</v>
      </c>
    </row>
    <row r="187" spans="1:4">
      <c r="A187" s="1" t="s">
        <v>883</v>
      </c>
      <c r="B187" s="1" t="s">
        <v>901</v>
      </c>
      <c r="C187" s="1" t="s">
        <v>902</v>
      </c>
      <c r="D187" s="1" t="s">
        <v>541</v>
      </c>
    </row>
    <row r="188" spans="1:4">
      <c r="A188" s="1" t="s">
        <v>903</v>
      </c>
      <c r="B188" s="1" t="s">
        <v>905</v>
      </c>
      <c r="C188" s="1" t="s">
        <v>906</v>
      </c>
      <c r="D188" s="1" t="s">
        <v>541</v>
      </c>
    </row>
    <row r="189" spans="1:4">
      <c r="A189" s="1" t="s">
        <v>903</v>
      </c>
      <c r="B189" s="1" t="s">
        <v>907</v>
      </c>
      <c r="C189" s="1" t="s">
        <v>908</v>
      </c>
      <c r="D189" s="1" t="s">
        <v>541</v>
      </c>
    </row>
    <row r="190" spans="1:4">
      <c r="A190" s="1" t="s">
        <v>903</v>
      </c>
      <c r="B190" s="1" t="s">
        <v>909</v>
      </c>
      <c r="C190" s="1" t="s">
        <v>910</v>
      </c>
      <c r="D190" s="1" t="s">
        <v>541</v>
      </c>
    </row>
    <row r="191" spans="1:4">
      <c r="A191" s="1" t="s">
        <v>903</v>
      </c>
      <c r="B191" s="1" t="s">
        <v>911</v>
      </c>
      <c r="C191" s="1" t="s">
        <v>912</v>
      </c>
      <c r="D191" s="1" t="s">
        <v>541</v>
      </c>
    </row>
    <row r="192" spans="1:4">
      <c r="A192" s="1" t="s">
        <v>903</v>
      </c>
      <c r="B192" s="1" t="s">
        <v>704</v>
      </c>
      <c r="C192" s="1" t="s">
        <v>913</v>
      </c>
      <c r="D192" s="1" t="s">
        <v>541</v>
      </c>
    </row>
    <row r="193" spans="1:4">
      <c r="A193" s="1" t="s">
        <v>903</v>
      </c>
      <c r="B193" s="1" t="s">
        <v>903</v>
      </c>
      <c r="C193" s="1" t="s">
        <v>904</v>
      </c>
      <c r="D193" s="1" t="s">
        <v>532</v>
      </c>
    </row>
    <row r="194" spans="1:4">
      <c r="A194" s="1" t="s">
        <v>903</v>
      </c>
      <c r="B194" s="1" t="s">
        <v>914</v>
      </c>
      <c r="C194" s="1" t="s">
        <v>915</v>
      </c>
      <c r="D194" s="1" t="s">
        <v>541</v>
      </c>
    </row>
    <row r="195" spans="1:4">
      <c r="A195" s="1" t="s">
        <v>903</v>
      </c>
      <c r="B195" s="1" t="s">
        <v>916</v>
      </c>
      <c r="C195" s="1" t="s">
        <v>917</v>
      </c>
      <c r="D195" s="1" t="s">
        <v>541</v>
      </c>
    </row>
    <row r="196" spans="1:4">
      <c r="A196" s="1" t="s">
        <v>903</v>
      </c>
      <c r="B196" s="1" t="s">
        <v>598</v>
      </c>
      <c r="C196" s="1" t="s">
        <v>918</v>
      </c>
      <c r="D196" s="1" t="s">
        <v>541</v>
      </c>
    </row>
    <row r="197" spans="1:4">
      <c r="A197" s="1" t="s">
        <v>903</v>
      </c>
      <c r="B197" s="1" t="s">
        <v>919</v>
      </c>
      <c r="C197" s="1" t="s">
        <v>920</v>
      </c>
      <c r="D197" s="1" t="s">
        <v>541</v>
      </c>
    </row>
    <row r="198" spans="1:4">
      <c r="A198" s="1" t="s">
        <v>903</v>
      </c>
      <c r="B198" s="1" t="s">
        <v>820</v>
      </c>
      <c r="C198" s="1" t="s">
        <v>921</v>
      </c>
      <c r="D198" s="1" t="s">
        <v>541</v>
      </c>
    </row>
    <row r="199" spans="1:4">
      <c r="A199" s="1" t="s">
        <v>903</v>
      </c>
      <c r="B199" s="1" t="s">
        <v>922</v>
      </c>
      <c r="C199" s="1" t="s">
        <v>923</v>
      </c>
      <c r="D199" s="1" t="s">
        <v>541</v>
      </c>
    </row>
    <row r="200" spans="1:4">
      <c r="A200" s="1" t="s">
        <v>903</v>
      </c>
      <c r="B200" s="1" t="s">
        <v>924</v>
      </c>
      <c r="C200" s="1" t="s">
        <v>925</v>
      </c>
      <c r="D200" s="1" t="s">
        <v>541</v>
      </c>
    </row>
    <row r="201" spans="1:4">
      <c r="A201" s="1" t="s">
        <v>926</v>
      </c>
      <c r="B201" s="1" t="s">
        <v>928</v>
      </c>
      <c r="C201" s="1" t="s">
        <v>929</v>
      </c>
      <c r="D201" s="1" t="s">
        <v>541</v>
      </c>
    </row>
    <row r="202" spans="1:4">
      <c r="A202" s="1" t="s">
        <v>926</v>
      </c>
      <c r="B202" s="1" t="s">
        <v>930</v>
      </c>
      <c r="C202" s="1" t="s">
        <v>931</v>
      </c>
      <c r="D202" s="1" t="s">
        <v>541</v>
      </c>
    </row>
    <row r="203" spans="1:4">
      <c r="A203" s="1" t="s">
        <v>926</v>
      </c>
      <c r="B203" s="1" t="s">
        <v>932</v>
      </c>
      <c r="C203" s="1" t="s">
        <v>933</v>
      </c>
      <c r="D203" s="1" t="s">
        <v>541</v>
      </c>
    </row>
    <row r="204" spans="1:4">
      <c r="A204" s="1" t="s">
        <v>926</v>
      </c>
      <c r="B204" s="1" t="s">
        <v>934</v>
      </c>
      <c r="C204" s="1" t="s">
        <v>935</v>
      </c>
      <c r="D204" s="1" t="s">
        <v>541</v>
      </c>
    </row>
    <row r="205" spans="1:4">
      <c r="A205" s="1" t="s">
        <v>926</v>
      </c>
      <c r="B205" s="1" t="s">
        <v>936</v>
      </c>
      <c r="C205" s="1" t="s">
        <v>937</v>
      </c>
      <c r="D205" s="1" t="s">
        <v>541</v>
      </c>
    </row>
    <row r="206" spans="1:4">
      <c r="A206" s="1" t="s">
        <v>926</v>
      </c>
      <c r="B206" s="1" t="s">
        <v>926</v>
      </c>
      <c r="C206" s="1" t="s">
        <v>927</v>
      </c>
      <c r="D206" s="1" t="s">
        <v>532</v>
      </c>
    </row>
    <row r="207" spans="1:4">
      <c r="A207" s="1" t="s">
        <v>926</v>
      </c>
      <c r="B207" s="1" t="s">
        <v>938</v>
      </c>
      <c r="C207" s="1" t="s">
        <v>939</v>
      </c>
      <c r="D207" s="1" t="s">
        <v>535</v>
      </c>
    </row>
    <row r="208" spans="1:4">
      <c r="A208" s="1" t="s">
        <v>926</v>
      </c>
      <c r="B208" s="1" t="s">
        <v>940</v>
      </c>
      <c r="C208" s="1" t="s">
        <v>941</v>
      </c>
      <c r="D208" s="1" t="s">
        <v>541</v>
      </c>
    </row>
    <row r="209" spans="1:4">
      <c r="A209" s="1" t="s">
        <v>926</v>
      </c>
      <c r="B209" s="1" t="s">
        <v>942</v>
      </c>
      <c r="C209" s="1" t="s">
        <v>943</v>
      </c>
      <c r="D209" s="1" t="s">
        <v>541</v>
      </c>
    </row>
    <row r="210" spans="1:4">
      <c r="A210" s="1" t="s">
        <v>926</v>
      </c>
      <c r="B210" s="1" t="s">
        <v>944</v>
      </c>
      <c r="C210" s="1" t="s">
        <v>945</v>
      </c>
      <c r="D210" s="1" t="s">
        <v>541</v>
      </c>
    </row>
    <row r="211" spans="1:4">
      <c r="A211" s="1" t="s">
        <v>926</v>
      </c>
      <c r="B211" s="1" t="s">
        <v>946</v>
      </c>
      <c r="C211" s="1" t="s">
        <v>947</v>
      </c>
      <c r="D211" s="1" t="s">
        <v>541</v>
      </c>
    </row>
    <row r="212" spans="1:4">
      <c r="A212" s="1" t="s">
        <v>926</v>
      </c>
      <c r="B212" s="1" t="s">
        <v>948</v>
      </c>
      <c r="C212" s="1" t="s">
        <v>949</v>
      </c>
      <c r="D212" s="1" t="s">
        <v>541</v>
      </c>
    </row>
    <row r="213" spans="1:4">
      <c r="A213" s="1" t="s">
        <v>926</v>
      </c>
      <c r="B213" s="1" t="s">
        <v>950</v>
      </c>
      <c r="C213" s="1" t="s">
        <v>951</v>
      </c>
      <c r="D213" s="1" t="s">
        <v>541</v>
      </c>
    </row>
    <row r="214" spans="1:4">
      <c r="A214" s="1" t="s">
        <v>926</v>
      </c>
      <c r="B214" s="1" t="s">
        <v>952</v>
      </c>
      <c r="C214" s="1" t="s">
        <v>953</v>
      </c>
      <c r="D214" s="1" t="s">
        <v>541</v>
      </c>
    </row>
    <row r="215" spans="1:4">
      <c r="A215" s="1" t="s">
        <v>954</v>
      </c>
      <c r="B215" s="1" t="s">
        <v>956</v>
      </c>
      <c r="C215" s="1" t="s">
        <v>957</v>
      </c>
      <c r="D215" s="1" t="s">
        <v>541</v>
      </c>
    </row>
    <row r="216" spans="1:4">
      <c r="A216" s="1" t="s">
        <v>954</v>
      </c>
      <c r="B216" s="1" t="s">
        <v>958</v>
      </c>
      <c r="C216" s="1" t="s">
        <v>959</v>
      </c>
      <c r="D216" s="1" t="s">
        <v>541</v>
      </c>
    </row>
    <row r="217" spans="1:4">
      <c r="A217" s="1" t="s">
        <v>954</v>
      </c>
      <c r="B217" s="1" t="s">
        <v>960</v>
      </c>
      <c r="C217" s="1" t="s">
        <v>961</v>
      </c>
      <c r="D217" s="1" t="s">
        <v>541</v>
      </c>
    </row>
    <row r="218" spans="1:4">
      <c r="A218" s="1" t="s">
        <v>954</v>
      </c>
      <c r="B218" s="1" t="s">
        <v>962</v>
      </c>
      <c r="C218" s="1" t="s">
        <v>963</v>
      </c>
      <c r="D218" s="1" t="s">
        <v>541</v>
      </c>
    </row>
    <row r="219" spans="1:4">
      <c r="A219" s="1" t="s">
        <v>954</v>
      </c>
      <c r="B219" s="1" t="s">
        <v>848</v>
      </c>
      <c r="C219" s="1" t="s">
        <v>964</v>
      </c>
      <c r="D219" s="1" t="s">
        <v>541</v>
      </c>
    </row>
    <row r="220" spans="1:4">
      <c r="A220" s="1" t="s">
        <v>954</v>
      </c>
      <c r="B220" s="1" t="s">
        <v>965</v>
      </c>
      <c r="C220" s="1" t="s">
        <v>966</v>
      </c>
      <c r="D220" s="1" t="s">
        <v>541</v>
      </c>
    </row>
    <row r="221" spans="1:4">
      <c r="A221" s="1" t="s">
        <v>954</v>
      </c>
      <c r="B221" s="1" t="s">
        <v>954</v>
      </c>
      <c r="C221" s="1" t="s">
        <v>955</v>
      </c>
      <c r="D221" s="1" t="s">
        <v>532</v>
      </c>
    </row>
    <row r="222" spans="1:4">
      <c r="A222" s="1" t="s">
        <v>954</v>
      </c>
      <c r="B222" s="1" t="s">
        <v>967</v>
      </c>
      <c r="C222" s="1" t="s">
        <v>968</v>
      </c>
      <c r="D222" s="1" t="s">
        <v>541</v>
      </c>
    </row>
    <row r="223" spans="1:4">
      <c r="A223" s="1" t="s">
        <v>954</v>
      </c>
      <c r="B223" s="1" t="s">
        <v>969</v>
      </c>
      <c r="C223" s="1" t="s">
        <v>970</v>
      </c>
      <c r="D223" s="1" t="s">
        <v>541</v>
      </c>
    </row>
    <row r="224" spans="1:4">
      <c r="A224" s="1" t="s">
        <v>954</v>
      </c>
      <c r="B224" s="1" t="s">
        <v>971</v>
      </c>
      <c r="C224" s="1" t="s">
        <v>972</v>
      </c>
      <c r="D224" s="1" t="s">
        <v>541</v>
      </c>
    </row>
    <row r="225" spans="1:4">
      <c r="A225" s="1" t="s">
        <v>954</v>
      </c>
      <c r="B225" s="1" t="s">
        <v>973</v>
      </c>
      <c r="C225" s="1" t="s">
        <v>974</v>
      </c>
      <c r="D225" s="1" t="s">
        <v>541</v>
      </c>
    </row>
    <row r="226" spans="1:4">
      <c r="A226" s="1" t="s">
        <v>954</v>
      </c>
      <c r="B226" s="1" t="s">
        <v>598</v>
      </c>
      <c r="C226" s="1" t="s">
        <v>975</v>
      </c>
      <c r="D226" s="1" t="s">
        <v>541</v>
      </c>
    </row>
    <row r="227" spans="1:4">
      <c r="A227" s="1" t="s">
        <v>954</v>
      </c>
      <c r="B227" s="1" t="s">
        <v>976</v>
      </c>
      <c r="C227" s="1" t="s">
        <v>977</v>
      </c>
      <c r="D227" s="1" t="s">
        <v>541</v>
      </c>
    </row>
    <row r="228" spans="1:4">
      <c r="A228" s="1" t="s">
        <v>978</v>
      </c>
      <c r="B228" s="1" t="s">
        <v>980</v>
      </c>
      <c r="C228" s="1" t="s">
        <v>981</v>
      </c>
      <c r="D228" s="1" t="s">
        <v>541</v>
      </c>
    </row>
    <row r="229" spans="1:4">
      <c r="A229" s="1" t="s">
        <v>978</v>
      </c>
      <c r="B229" s="1" t="s">
        <v>982</v>
      </c>
      <c r="C229" s="1" t="s">
        <v>983</v>
      </c>
      <c r="D229" s="1" t="s">
        <v>541</v>
      </c>
    </row>
    <row r="230" spans="1:4">
      <c r="A230" s="1" t="s">
        <v>978</v>
      </c>
      <c r="B230" s="1" t="s">
        <v>984</v>
      </c>
      <c r="C230" s="1" t="s">
        <v>985</v>
      </c>
      <c r="D230" s="1" t="s">
        <v>541</v>
      </c>
    </row>
    <row r="231" spans="1:4">
      <c r="A231" s="1" t="s">
        <v>978</v>
      </c>
      <c r="B231" s="1" t="s">
        <v>986</v>
      </c>
      <c r="C231" s="1" t="s">
        <v>987</v>
      </c>
      <c r="D231" s="1" t="s">
        <v>541</v>
      </c>
    </row>
    <row r="232" spans="1:4">
      <c r="A232" s="1" t="s">
        <v>978</v>
      </c>
      <c r="B232" s="1" t="s">
        <v>988</v>
      </c>
      <c r="C232" s="1" t="s">
        <v>989</v>
      </c>
      <c r="D232" s="1" t="s">
        <v>541</v>
      </c>
    </row>
    <row r="233" spans="1:4">
      <c r="A233" s="1" t="s">
        <v>978</v>
      </c>
      <c r="B233" s="1" t="s">
        <v>990</v>
      </c>
      <c r="C233" s="1" t="s">
        <v>991</v>
      </c>
      <c r="D233" s="1" t="s">
        <v>541</v>
      </c>
    </row>
    <row r="234" spans="1:4">
      <c r="A234" s="1" t="s">
        <v>978</v>
      </c>
      <c r="B234" s="1" t="s">
        <v>992</v>
      </c>
      <c r="C234" s="1" t="s">
        <v>993</v>
      </c>
      <c r="D234" s="1" t="s">
        <v>541</v>
      </c>
    </row>
    <row r="235" spans="1:4">
      <c r="A235" s="1" t="s">
        <v>978</v>
      </c>
      <c r="B235" s="1" t="s">
        <v>994</v>
      </c>
      <c r="C235" s="1" t="s">
        <v>995</v>
      </c>
      <c r="D235" s="1" t="s">
        <v>541</v>
      </c>
    </row>
    <row r="236" spans="1:4">
      <c r="A236" s="1" t="s">
        <v>978</v>
      </c>
      <c r="B236" s="1" t="s">
        <v>978</v>
      </c>
      <c r="C236" s="1" t="s">
        <v>979</v>
      </c>
      <c r="D236" s="1" t="s">
        <v>532</v>
      </c>
    </row>
    <row r="237" spans="1:4">
      <c r="A237" s="1" t="s">
        <v>978</v>
      </c>
      <c r="B237" s="1" t="s">
        <v>996</v>
      </c>
      <c r="C237" s="1" t="s">
        <v>997</v>
      </c>
      <c r="D237" s="1" t="s">
        <v>538</v>
      </c>
    </row>
    <row r="238" spans="1:4">
      <c r="A238" s="1" t="s">
        <v>978</v>
      </c>
      <c r="B238" s="1" t="s">
        <v>998</v>
      </c>
      <c r="C238" s="1" t="s">
        <v>999</v>
      </c>
      <c r="D238" s="1" t="s">
        <v>541</v>
      </c>
    </row>
    <row r="239" spans="1:4">
      <c r="A239" s="1" t="s">
        <v>978</v>
      </c>
      <c r="B239" s="1" t="s">
        <v>1000</v>
      </c>
      <c r="C239" s="1" t="s">
        <v>1001</v>
      </c>
      <c r="D239" s="1" t="s">
        <v>538</v>
      </c>
    </row>
    <row r="240" spans="1:4">
      <c r="A240" s="1" t="s">
        <v>978</v>
      </c>
      <c r="B240" s="1" t="s">
        <v>1002</v>
      </c>
      <c r="C240" s="1" t="s">
        <v>1003</v>
      </c>
      <c r="D240" s="1" t="s">
        <v>541</v>
      </c>
    </row>
    <row r="241" spans="1:4">
      <c r="A241" s="1" t="s">
        <v>978</v>
      </c>
      <c r="B241" s="1" t="s">
        <v>1004</v>
      </c>
      <c r="C241" s="1" t="s">
        <v>1005</v>
      </c>
      <c r="D241" s="1" t="s">
        <v>541</v>
      </c>
    </row>
    <row r="242" spans="1:4">
      <c r="A242" s="1" t="s">
        <v>978</v>
      </c>
      <c r="B242" s="1" t="s">
        <v>1006</v>
      </c>
      <c r="C242" s="1" t="s">
        <v>1007</v>
      </c>
      <c r="D242" s="1" t="s">
        <v>541</v>
      </c>
    </row>
    <row r="243" spans="1:4">
      <c r="A243" s="1" t="s">
        <v>1008</v>
      </c>
      <c r="B243" s="1" t="s">
        <v>1010</v>
      </c>
      <c r="C243" s="1" t="s">
        <v>1011</v>
      </c>
      <c r="D243" s="1" t="s">
        <v>541</v>
      </c>
    </row>
    <row r="244" spans="1:4">
      <c r="A244" s="1" t="s">
        <v>1008</v>
      </c>
      <c r="B244" s="1" t="s">
        <v>1012</v>
      </c>
      <c r="C244" s="1" t="s">
        <v>1013</v>
      </c>
      <c r="D244" s="1" t="s">
        <v>541</v>
      </c>
    </row>
    <row r="245" spans="1:4">
      <c r="A245" s="1" t="s">
        <v>1008</v>
      </c>
      <c r="B245" s="1" t="s">
        <v>1014</v>
      </c>
      <c r="C245" s="1" t="s">
        <v>1015</v>
      </c>
      <c r="D245" s="1" t="s">
        <v>541</v>
      </c>
    </row>
    <row r="246" spans="1:4">
      <c r="A246" s="1" t="s">
        <v>1008</v>
      </c>
      <c r="B246" s="1" t="s">
        <v>1016</v>
      </c>
      <c r="C246" s="1" t="s">
        <v>1017</v>
      </c>
      <c r="D246" s="1" t="s">
        <v>541</v>
      </c>
    </row>
    <row r="247" spans="1:4">
      <c r="A247" s="1" t="s">
        <v>1008</v>
      </c>
      <c r="B247" s="1" t="s">
        <v>1008</v>
      </c>
      <c r="C247" s="1" t="s">
        <v>1009</v>
      </c>
      <c r="D247" s="1" t="s">
        <v>532</v>
      </c>
    </row>
    <row r="248" spans="1:4">
      <c r="A248" s="1" t="s">
        <v>1008</v>
      </c>
      <c r="B248" s="1" t="s">
        <v>1018</v>
      </c>
      <c r="C248" s="1" t="s">
        <v>1019</v>
      </c>
      <c r="D248" s="1" t="s">
        <v>535</v>
      </c>
    </row>
    <row r="249" spans="1:4">
      <c r="A249" s="1" t="s">
        <v>1008</v>
      </c>
      <c r="B249" s="1" t="s">
        <v>621</v>
      </c>
      <c r="C249" s="1" t="s">
        <v>1020</v>
      </c>
      <c r="D249" s="1" t="s">
        <v>541</v>
      </c>
    </row>
    <row r="250" spans="1:4">
      <c r="A250" s="1" t="s">
        <v>1008</v>
      </c>
      <c r="B250" s="1" t="s">
        <v>1021</v>
      </c>
      <c r="C250" s="1" t="s">
        <v>1022</v>
      </c>
      <c r="D250" s="1" t="s">
        <v>541</v>
      </c>
    </row>
    <row r="251" spans="1:4">
      <c r="A251" s="1" t="s">
        <v>1008</v>
      </c>
      <c r="B251" s="1" t="s">
        <v>1023</v>
      </c>
      <c r="C251" s="1" t="s">
        <v>1024</v>
      </c>
      <c r="D251" s="1" t="s">
        <v>541</v>
      </c>
    </row>
    <row r="252" spans="1:4">
      <c r="A252" s="1" t="s">
        <v>1008</v>
      </c>
      <c r="B252" s="1" t="s">
        <v>1025</v>
      </c>
      <c r="C252" s="1" t="s">
        <v>1026</v>
      </c>
      <c r="D252" s="1" t="s">
        <v>541</v>
      </c>
    </row>
    <row r="253" spans="1:4">
      <c r="A253" s="1" t="s">
        <v>1027</v>
      </c>
      <c r="B253" s="1" t="s">
        <v>1029</v>
      </c>
      <c r="C253" s="1" t="s">
        <v>1030</v>
      </c>
      <c r="D253" s="1" t="s">
        <v>541</v>
      </c>
    </row>
    <row r="254" spans="1:4">
      <c r="A254" s="1" t="s">
        <v>1027</v>
      </c>
      <c r="B254" s="1" t="s">
        <v>907</v>
      </c>
      <c r="C254" s="1" t="s">
        <v>1031</v>
      </c>
      <c r="D254" s="1" t="s">
        <v>541</v>
      </c>
    </row>
    <row r="255" spans="1:4">
      <c r="A255" s="1" t="s">
        <v>1027</v>
      </c>
      <c r="B255" s="1" t="s">
        <v>1032</v>
      </c>
      <c r="C255" s="1" t="s">
        <v>1033</v>
      </c>
      <c r="D255" s="1" t="s">
        <v>541</v>
      </c>
    </row>
    <row r="256" spans="1:4">
      <c r="A256" s="1" t="s">
        <v>1027</v>
      </c>
      <c r="B256" s="1" t="s">
        <v>558</v>
      </c>
      <c r="C256" s="1" t="s">
        <v>1034</v>
      </c>
      <c r="D256" s="1" t="s">
        <v>541</v>
      </c>
    </row>
    <row r="257" spans="1:4">
      <c r="A257" s="1" t="s">
        <v>1027</v>
      </c>
      <c r="B257" s="1" t="s">
        <v>1035</v>
      </c>
      <c r="C257" s="1" t="s">
        <v>1036</v>
      </c>
      <c r="D257" s="1" t="s">
        <v>541</v>
      </c>
    </row>
    <row r="258" spans="1:4">
      <c r="A258" s="1" t="s">
        <v>1027</v>
      </c>
      <c r="B258" s="1" t="s">
        <v>1037</v>
      </c>
      <c r="C258" s="1" t="s">
        <v>1038</v>
      </c>
      <c r="D258" s="1" t="s">
        <v>541</v>
      </c>
    </row>
    <row r="259" spans="1:4">
      <c r="A259" s="1" t="s">
        <v>1027</v>
      </c>
      <c r="B259" s="1" t="s">
        <v>1027</v>
      </c>
      <c r="C259" s="1" t="s">
        <v>1028</v>
      </c>
      <c r="D259" s="1" t="s">
        <v>532</v>
      </c>
    </row>
    <row r="260" spans="1:4">
      <c r="A260" s="1" t="s">
        <v>1027</v>
      </c>
      <c r="B260" s="1" t="s">
        <v>1039</v>
      </c>
      <c r="C260" s="1" t="s">
        <v>1040</v>
      </c>
      <c r="D260" s="1" t="s">
        <v>541</v>
      </c>
    </row>
    <row r="261" spans="1:4">
      <c r="A261" s="1" t="s">
        <v>1027</v>
      </c>
      <c r="B261" s="1" t="s">
        <v>1041</v>
      </c>
      <c r="C261" s="1" t="s">
        <v>1042</v>
      </c>
      <c r="D261" s="1" t="s">
        <v>541</v>
      </c>
    </row>
    <row r="262" spans="1:4">
      <c r="A262" s="1" t="s">
        <v>1043</v>
      </c>
      <c r="B262" s="1" t="s">
        <v>1045</v>
      </c>
      <c r="C262" s="1" t="s">
        <v>1046</v>
      </c>
      <c r="D262" s="1" t="s">
        <v>541</v>
      </c>
    </row>
    <row r="263" spans="1:4">
      <c r="A263" s="1" t="s">
        <v>1043</v>
      </c>
      <c r="B263" s="1" t="s">
        <v>1047</v>
      </c>
      <c r="C263" s="1" t="s">
        <v>1048</v>
      </c>
      <c r="D263" s="1" t="s">
        <v>541</v>
      </c>
    </row>
    <row r="264" spans="1:4">
      <c r="A264" s="1" t="s">
        <v>1043</v>
      </c>
      <c r="B264" s="1" t="s">
        <v>786</v>
      </c>
      <c r="C264" s="1" t="s">
        <v>1049</v>
      </c>
      <c r="D264" s="1" t="s">
        <v>541</v>
      </c>
    </row>
    <row r="265" spans="1:4">
      <c r="A265" s="1" t="s">
        <v>1043</v>
      </c>
      <c r="B265" s="1" t="s">
        <v>1050</v>
      </c>
      <c r="C265" s="1" t="s">
        <v>1051</v>
      </c>
      <c r="D265" s="1" t="s">
        <v>541</v>
      </c>
    </row>
    <row r="266" spans="1:4">
      <c r="A266" s="1" t="s">
        <v>1043</v>
      </c>
      <c r="B266" s="1" t="s">
        <v>1052</v>
      </c>
      <c r="C266" s="1" t="s">
        <v>1053</v>
      </c>
      <c r="D266" s="1" t="s">
        <v>541</v>
      </c>
    </row>
    <row r="267" spans="1:4">
      <c r="A267" s="1" t="s">
        <v>1043</v>
      </c>
      <c r="B267" s="1" t="s">
        <v>1054</v>
      </c>
      <c r="C267" s="1" t="s">
        <v>1055</v>
      </c>
      <c r="D267" s="1" t="s">
        <v>541</v>
      </c>
    </row>
    <row r="268" spans="1:4">
      <c r="A268" s="1" t="s">
        <v>1043</v>
      </c>
      <c r="B268" s="1" t="s">
        <v>1043</v>
      </c>
      <c r="C268" s="1" t="s">
        <v>1044</v>
      </c>
      <c r="D268" s="1" t="s">
        <v>532</v>
      </c>
    </row>
    <row r="269" spans="1:4">
      <c r="A269" s="1" t="s">
        <v>1043</v>
      </c>
      <c r="B269" s="1" t="s">
        <v>1056</v>
      </c>
      <c r="C269" s="1" t="s">
        <v>1057</v>
      </c>
      <c r="D269" s="1" t="s">
        <v>541</v>
      </c>
    </row>
    <row r="270" spans="1:4">
      <c r="A270" s="1" t="s">
        <v>1043</v>
      </c>
      <c r="B270" s="1" t="s">
        <v>1058</v>
      </c>
      <c r="C270" s="1" t="s">
        <v>1059</v>
      </c>
      <c r="D270" s="1" t="s">
        <v>541</v>
      </c>
    </row>
    <row r="271" spans="1:4">
      <c r="A271" s="1" t="s">
        <v>1043</v>
      </c>
      <c r="B271" s="1" t="s">
        <v>1060</v>
      </c>
      <c r="C271" s="1" t="s">
        <v>1061</v>
      </c>
      <c r="D271" s="1" t="s">
        <v>541</v>
      </c>
    </row>
    <row r="272" spans="1:4">
      <c r="A272" s="1" t="s">
        <v>1043</v>
      </c>
      <c r="B272" s="1" t="s">
        <v>1062</v>
      </c>
      <c r="C272" s="1" t="s">
        <v>1063</v>
      </c>
      <c r="D272" s="1" t="s">
        <v>541</v>
      </c>
    </row>
    <row r="273" spans="1:4">
      <c r="A273" s="1" t="s">
        <v>1043</v>
      </c>
      <c r="B273" s="1" t="s">
        <v>1064</v>
      </c>
      <c r="C273" s="1" t="s">
        <v>1065</v>
      </c>
      <c r="D273" s="1" t="s">
        <v>541</v>
      </c>
    </row>
    <row r="274" spans="1:4">
      <c r="A274" s="1" t="s">
        <v>1043</v>
      </c>
      <c r="B274" s="1" t="s">
        <v>1066</v>
      </c>
      <c r="C274" s="1" t="s">
        <v>1067</v>
      </c>
      <c r="D274" s="1" t="s">
        <v>541</v>
      </c>
    </row>
    <row r="275" spans="1:4">
      <c r="A275" s="1" t="s">
        <v>1043</v>
      </c>
      <c r="B275" s="1" t="s">
        <v>1068</v>
      </c>
      <c r="C275" s="1" t="s">
        <v>1069</v>
      </c>
      <c r="D275" s="1" t="s">
        <v>541</v>
      </c>
    </row>
    <row r="276" spans="1:4">
      <c r="A276" s="1" t="s">
        <v>1043</v>
      </c>
      <c r="B276" s="1" t="s">
        <v>1070</v>
      </c>
      <c r="C276" s="1" t="s">
        <v>1071</v>
      </c>
      <c r="D276" s="1" t="s">
        <v>541</v>
      </c>
    </row>
    <row r="277" spans="1:4">
      <c r="A277" s="1" t="s">
        <v>1072</v>
      </c>
      <c r="B277" s="1" t="s">
        <v>1074</v>
      </c>
      <c r="C277" s="1" t="s">
        <v>1075</v>
      </c>
      <c r="D277" s="1" t="s">
        <v>541</v>
      </c>
    </row>
    <row r="278" spans="1:4">
      <c r="A278" s="1" t="s">
        <v>1072</v>
      </c>
      <c r="B278" s="1" t="s">
        <v>1076</v>
      </c>
      <c r="C278" s="1" t="s">
        <v>1077</v>
      </c>
      <c r="D278" s="1" t="s">
        <v>541</v>
      </c>
    </row>
    <row r="279" spans="1:4">
      <c r="A279" s="1" t="s">
        <v>1072</v>
      </c>
      <c r="B279" s="1" t="s">
        <v>1035</v>
      </c>
      <c r="C279" s="1" t="s">
        <v>1078</v>
      </c>
      <c r="D279" s="1" t="s">
        <v>541</v>
      </c>
    </row>
    <row r="280" spans="1:4">
      <c r="A280" s="1" t="s">
        <v>1072</v>
      </c>
      <c r="B280" s="1" t="s">
        <v>1079</v>
      </c>
      <c r="C280" s="1" t="s">
        <v>1080</v>
      </c>
      <c r="D280" s="1" t="s">
        <v>541</v>
      </c>
    </row>
    <row r="281" spans="1:4">
      <c r="A281" s="1" t="s">
        <v>1072</v>
      </c>
      <c r="B281" s="1" t="s">
        <v>1081</v>
      </c>
      <c r="C281" s="1" t="s">
        <v>1082</v>
      </c>
      <c r="D281" s="1" t="s">
        <v>541</v>
      </c>
    </row>
    <row r="282" spans="1:4">
      <c r="A282" s="1" t="s">
        <v>1072</v>
      </c>
      <c r="B282" s="1" t="s">
        <v>1083</v>
      </c>
      <c r="C282" s="1" t="s">
        <v>1084</v>
      </c>
      <c r="D282" s="1" t="s">
        <v>541</v>
      </c>
    </row>
    <row r="283" spans="1:4">
      <c r="A283" s="1" t="s">
        <v>1072</v>
      </c>
      <c r="B283" s="1" t="s">
        <v>1072</v>
      </c>
      <c r="C283" s="1" t="s">
        <v>1073</v>
      </c>
      <c r="D283" s="1" t="s">
        <v>532</v>
      </c>
    </row>
    <row r="284" spans="1:4">
      <c r="A284" s="1" t="s">
        <v>1072</v>
      </c>
      <c r="B284" s="1" t="s">
        <v>1085</v>
      </c>
      <c r="C284" s="1" t="s">
        <v>1086</v>
      </c>
      <c r="D284" s="1" t="s">
        <v>541</v>
      </c>
    </row>
    <row r="285" spans="1:4">
      <c r="A285" s="1" t="s">
        <v>1072</v>
      </c>
      <c r="B285" s="1" t="s">
        <v>1087</v>
      </c>
      <c r="C285" s="1" t="s">
        <v>1088</v>
      </c>
      <c r="D285" s="1" t="s">
        <v>541</v>
      </c>
    </row>
    <row r="286" spans="1:4">
      <c r="A286" s="1" t="s">
        <v>1072</v>
      </c>
      <c r="B286" s="1" t="s">
        <v>1089</v>
      </c>
      <c r="C286" s="1" t="s">
        <v>1090</v>
      </c>
      <c r="D286" s="1" t="s">
        <v>541</v>
      </c>
    </row>
    <row r="287" spans="1:4">
      <c r="A287" s="1" t="s">
        <v>1072</v>
      </c>
      <c r="B287" s="1" t="s">
        <v>1091</v>
      </c>
      <c r="C287" s="1" t="s">
        <v>1092</v>
      </c>
      <c r="D287" s="1" t="s">
        <v>541</v>
      </c>
    </row>
    <row r="288" spans="1:4">
      <c r="A288" s="1" t="s">
        <v>1072</v>
      </c>
      <c r="B288" s="1" t="s">
        <v>948</v>
      </c>
      <c r="C288" s="1" t="s">
        <v>1093</v>
      </c>
      <c r="D288" s="1" t="s">
        <v>541</v>
      </c>
    </row>
    <row r="289" spans="1:4">
      <c r="A289" s="1" t="s">
        <v>1094</v>
      </c>
      <c r="B289" s="1" t="s">
        <v>1096</v>
      </c>
      <c r="C289" s="1" t="s">
        <v>1097</v>
      </c>
      <c r="D289" s="1" t="s">
        <v>541</v>
      </c>
    </row>
    <row r="290" spans="1:4">
      <c r="A290" s="1" t="s">
        <v>1094</v>
      </c>
      <c r="B290" s="1" t="s">
        <v>1098</v>
      </c>
      <c r="C290" s="1" t="s">
        <v>1099</v>
      </c>
      <c r="D290" s="1" t="s">
        <v>541</v>
      </c>
    </row>
    <row r="291" spans="1:4">
      <c r="A291" s="1" t="s">
        <v>1094</v>
      </c>
      <c r="B291" s="1" t="s">
        <v>1100</v>
      </c>
      <c r="C291" s="1" t="s">
        <v>1101</v>
      </c>
      <c r="D291" s="1" t="s">
        <v>541</v>
      </c>
    </row>
    <row r="292" spans="1:4">
      <c r="A292" s="1" t="s">
        <v>1094</v>
      </c>
      <c r="B292" s="1" t="s">
        <v>1039</v>
      </c>
      <c r="C292" s="1" t="s">
        <v>1102</v>
      </c>
      <c r="D292" s="1" t="s">
        <v>541</v>
      </c>
    </row>
    <row r="293" spans="1:4">
      <c r="A293" s="1" t="s">
        <v>1094</v>
      </c>
      <c r="B293" s="1" t="s">
        <v>544</v>
      </c>
      <c r="C293" s="1" t="s">
        <v>1103</v>
      </c>
      <c r="D293" s="1" t="s">
        <v>541</v>
      </c>
    </row>
    <row r="294" spans="1:4">
      <c r="A294" s="1" t="s">
        <v>1094</v>
      </c>
      <c r="B294" s="1" t="s">
        <v>1104</v>
      </c>
      <c r="C294" s="1" t="s">
        <v>1105</v>
      </c>
      <c r="D294" s="1" t="s">
        <v>541</v>
      </c>
    </row>
    <row r="295" spans="1:4">
      <c r="A295" s="1" t="s">
        <v>1094</v>
      </c>
      <c r="B295" s="1" t="s">
        <v>1094</v>
      </c>
      <c r="C295" s="1" t="s">
        <v>1095</v>
      </c>
      <c r="D295" s="1" t="s">
        <v>532</v>
      </c>
    </row>
    <row r="296" spans="1:4">
      <c r="A296" s="1" t="s">
        <v>1094</v>
      </c>
      <c r="B296" s="1" t="s">
        <v>1106</v>
      </c>
      <c r="C296" s="1" t="s">
        <v>1107</v>
      </c>
      <c r="D296" s="1" t="s">
        <v>535</v>
      </c>
    </row>
    <row r="297" spans="1:4">
      <c r="A297" s="1" t="s">
        <v>1094</v>
      </c>
      <c r="B297" s="1" t="s">
        <v>1108</v>
      </c>
      <c r="C297" s="1" t="s">
        <v>1109</v>
      </c>
      <c r="D297" s="1" t="s">
        <v>541</v>
      </c>
    </row>
    <row r="298" spans="1:4">
      <c r="A298" s="1" t="s">
        <v>1094</v>
      </c>
      <c r="B298" s="1" t="s">
        <v>1110</v>
      </c>
      <c r="C298" s="1" t="s">
        <v>1111</v>
      </c>
      <c r="D298" s="1" t="s">
        <v>541</v>
      </c>
    </row>
    <row r="299" spans="1:4">
      <c r="A299" s="1" t="s">
        <v>1112</v>
      </c>
      <c r="B299" s="1" t="s">
        <v>1114</v>
      </c>
      <c r="C299" s="1" t="s">
        <v>1115</v>
      </c>
      <c r="D299" s="1" t="s">
        <v>541</v>
      </c>
    </row>
    <row r="300" spans="1:4">
      <c r="A300" s="1" t="s">
        <v>1112</v>
      </c>
      <c r="B300" s="1" t="s">
        <v>1116</v>
      </c>
      <c r="C300" s="1" t="s">
        <v>1117</v>
      </c>
      <c r="D300" s="1" t="s">
        <v>538</v>
      </c>
    </row>
    <row r="301" spans="1:4">
      <c r="A301" s="1" t="s">
        <v>1112</v>
      </c>
      <c r="B301" s="1" t="s">
        <v>1118</v>
      </c>
      <c r="C301" s="1" t="s">
        <v>1119</v>
      </c>
      <c r="D301" s="1" t="s">
        <v>541</v>
      </c>
    </row>
    <row r="302" spans="1:4">
      <c r="A302" s="1" t="s">
        <v>1112</v>
      </c>
      <c r="B302" s="1" t="s">
        <v>1120</v>
      </c>
      <c r="C302" s="1" t="s">
        <v>1121</v>
      </c>
      <c r="D302" s="1" t="s">
        <v>538</v>
      </c>
    </row>
    <row r="303" spans="1:4">
      <c r="A303" s="1" t="s">
        <v>1112</v>
      </c>
      <c r="B303" s="1" t="s">
        <v>1122</v>
      </c>
      <c r="C303" s="1" t="s">
        <v>1123</v>
      </c>
      <c r="D303" s="1" t="s">
        <v>541</v>
      </c>
    </row>
    <row r="304" spans="1:4">
      <c r="A304" s="1" t="s">
        <v>1112</v>
      </c>
      <c r="B304" s="1" t="s">
        <v>1124</v>
      </c>
      <c r="C304" s="1" t="s">
        <v>1125</v>
      </c>
      <c r="D304" s="1" t="s">
        <v>541</v>
      </c>
    </row>
    <row r="305" spans="1:4">
      <c r="A305" s="1" t="s">
        <v>1112</v>
      </c>
      <c r="B305" s="1" t="s">
        <v>893</v>
      </c>
      <c r="C305" s="1" t="s">
        <v>1126</v>
      </c>
      <c r="D305" s="1" t="s">
        <v>541</v>
      </c>
    </row>
    <row r="306" spans="1:4">
      <c r="A306" s="1" t="s">
        <v>1112</v>
      </c>
      <c r="B306" s="1" t="s">
        <v>1127</v>
      </c>
      <c r="C306" s="1" t="s">
        <v>1128</v>
      </c>
      <c r="D306" s="1" t="s">
        <v>541</v>
      </c>
    </row>
    <row r="307" spans="1:4">
      <c r="A307" s="1" t="s">
        <v>1112</v>
      </c>
      <c r="B307" s="1" t="s">
        <v>1112</v>
      </c>
      <c r="C307" s="1" t="s">
        <v>1113</v>
      </c>
      <c r="D307" s="1" t="s">
        <v>532</v>
      </c>
    </row>
    <row r="308" spans="1:4">
      <c r="A308" s="1" t="s">
        <v>1112</v>
      </c>
      <c r="B308" s="1" t="s">
        <v>1129</v>
      </c>
      <c r="C308" s="1" t="s">
        <v>1130</v>
      </c>
      <c r="D308" s="1" t="s">
        <v>541</v>
      </c>
    </row>
    <row r="309" spans="1:4">
      <c r="A309" s="1" t="s">
        <v>1112</v>
      </c>
      <c r="B309" s="1" t="s">
        <v>1131</v>
      </c>
      <c r="C309" s="1" t="s">
        <v>1132</v>
      </c>
      <c r="D309" s="1" t="s">
        <v>541</v>
      </c>
    </row>
    <row r="310" spans="1:4">
      <c r="A310" s="1" t="s">
        <v>1112</v>
      </c>
      <c r="B310" s="1" t="s">
        <v>1133</v>
      </c>
      <c r="C310" s="1" t="s">
        <v>1134</v>
      </c>
      <c r="D310" s="1" t="s">
        <v>538</v>
      </c>
    </row>
    <row r="311" spans="1:4">
      <c r="A311" s="1" t="s">
        <v>1112</v>
      </c>
      <c r="B311" s="1" t="s">
        <v>1135</v>
      </c>
      <c r="C311" s="1" t="s">
        <v>1136</v>
      </c>
      <c r="D311" s="1" t="s">
        <v>541</v>
      </c>
    </row>
    <row r="312" spans="1:4">
      <c r="A312" s="1" t="s">
        <v>1137</v>
      </c>
      <c r="B312" s="1" t="s">
        <v>1139</v>
      </c>
      <c r="C312" s="1" t="s">
        <v>1140</v>
      </c>
      <c r="D312" s="1" t="s">
        <v>541</v>
      </c>
    </row>
    <row r="313" spans="1:4">
      <c r="A313" s="1" t="s">
        <v>1137</v>
      </c>
      <c r="B313" s="1" t="s">
        <v>1141</v>
      </c>
      <c r="C313" s="1" t="s">
        <v>1142</v>
      </c>
      <c r="D313" s="1" t="s">
        <v>541</v>
      </c>
    </row>
    <row r="314" spans="1:4">
      <c r="A314" s="1" t="s">
        <v>1137</v>
      </c>
      <c r="B314" s="1" t="s">
        <v>1143</v>
      </c>
      <c r="C314" s="1" t="s">
        <v>1144</v>
      </c>
      <c r="D314" s="1" t="s">
        <v>541</v>
      </c>
    </row>
    <row r="315" spans="1:4">
      <c r="A315" s="1" t="s">
        <v>1137</v>
      </c>
      <c r="B315" s="1" t="s">
        <v>1145</v>
      </c>
      <c r="C315" s="1" t="s">
        <v>1146</v>
      </c>
      <c r="D315" s="1" t="s">
        <v>541</v>
      </c>
    </row>
    <row r="316" spans="1:4">
      <c r="A316" s="1" t="s">
        <v>1137</v>
      </c>
      <c r="B316" s="1" t="s">
        <v>1147</v>
      </c>
      <c r="C316" s="1" t="s">
        <v>1148</v>
      </c>
      <c r="D316" s="1" t="s">
        <v>541</v>
      </c>
    </row>
    <row r="317" spans="1:4">
      <c r="A317" s="1" t="s">
        <v>1137</v>
      </c>
      <c r="B317" s="1" t="s">
        <v>1149</v>
      </c>
      <c r="C317" s="1" t="s">
        <v>1150</v>
      </c>
      <c r="D317" s="1" t="s">
        <v>541</v>
      </c>
    </row>
    <row r="318" spans="1:4">
      <c r="A318" s="1" t="s">
        <v>1137</v>
      </c>
      <c r="B318" s="1" t="s">
        <v>1151</v>
      </c>
      <c r="C318" s="1" t="s">
        <v>1152</v>
      </c>
      <c r="D318" s="1" t="s">
        <v>541</v>
      </c>
    </row>
    <row r="319" spans="1:4">
      <c r="A319" s="1" t="s">
        <v>1137</v>
      </c>
      <c r="B319" s="1" t="s">
        <v>1153</v>
      </c>
      <c r="C319" s="1" t="s">
        <v>1154</v>
      </c>
      <c r="D319" s="1" t="s">
        <v>541</v>
      </c>
    </row>
    <row r="320" spans="1:4">
      <c r="A320" s="1" t="s">
        <v>1137</v>
      </c>
      <c r="B320" s="1" t="s">
        <v>1155</v>
      </c>
      <c r="C320" s="1" t="s">
        <v>1156</v>
      </c>
      <c r="D320" s="1" t="s">
        <v>541</v>
      </c>
    </row>
    <row r="321" spans="1:4">
      <c r="A321" s="1" t="s">
        <v>1137</v>
      </c>
      <c r="B321" s="1" t="s">
        <v>1021</v>
      </c>
      <c r="C321" s="1" t="s">
        <v>1157</v>
      </c>
      <c r="D321" s="1" t="s">
        <v>541</v>
      </c>
    </row>
    <row r="322" spans="1:4">
      <c r="A322" s="1" t="s">
        <v>1137</v>
      </c>
      <c r="B322" s="1" t="s">
        <v>1158</v>
      </c>
      <c r="C322" s="1" t="s">
        <v>1159</v>
      </c>
      <c r="D322" s="1" t="s">
        <v>541</v>
      </c>
    </row>
    <row r="323" spans="1:4">
      <c r="A323" s="1" t="s">
        <v>1137</v>
      </c>
      <c r="B323" s="1" t="s">
        <v>1160</v>
      </c>
      <c r="C323" s="1" t="s">
        <v>1161</v>
      </c>
      <c r="D323" s="1" t="s">
        <v>541</v>
      </c>
    </row>
    <row r="324" spans="1:4">
      <c r="A324" s="1" t="s">
        <v>1137</v>
      </c>
      <c r="B324" s="1" t="s">
        <v>1137</v>
      </c>
      <c r="C324" s="1" t="s">
        <v>1138</v>
      </c>
      <c r="D324" s="1" t="s">
        <v>532</v>
      </c>
    </row>
    <row r="325" spans="1:4">
      <c r="A325" s="1" t="s">
        <v>1137</v>
      </c>
      <c r="B325" s="1" t="s">
        <v>1162</v>
      </c>
      <c r="C325" s="1" t="s">
        <v>1163</v>
      </c>
      <c r="D325" s="1" t="s">
        <v>535</v>
      </c>
    </row>
    <row r="326" spans="1:4">
      <c r="A326" s="1" t="s">
        <v>1137</v>
      </c>
      <c r="B326" s="1" t="s">
        <v>1164</v>
      </c>
      <c r="C326" s="1" t="s">
        <v>1165</v>
      </c>
      <c r="D326" s="1" t="s">
        <v>541</v>
      </c>
    </row>
    <row r="327" spans="1:4">
      <c r="A327" s="1" t="s">
        <v>1137</v>
      </c>
      <c r="B327" s="1" t="s">
        <v>1166</v>
      </c>
      <c r="C327" s="1" t="s">
        <v>1167</v>
      </c>
      <c r="D327" s="1" t="s">
        <v>541</v>
      </c>
    </row>
    <row r="328" spans="1:4">
      <c r="A328" s="1" t="s">
        <v>1168</v>
      </c>
      <c r="B328" s="1" t="s">
        <v>1170</v>
      </c>
      <c r="C328" s="1" t="s">
        <v>1171</v>
      </c>
      <c r="D328" s="1" t="s">
        <v>541</v>
      </c>
    </row>
    <row r="329" spans="1:4">
      <c r="A329" s="1" t="s">
        <v>1168</v>
      </c>
      <c r="B329" s="1" t="s">
        <v>776</v>
      </c>
      <c r="C329" s="1" t="s">
        <v>1172</v>
      </c>
      <c r="D329" s="1" t="s">
        <v>541</v>
      </c>
    </row>
    <row r="330" spans="1:4">
      <c r="A330" s="1" t="s">
        <v>1168</v>
      </c>
      <c r="B330" s="1" t="s">
        <v>1173</v>
      </c>
      <c r="C330" s="1" t="s">
        <v>1174</v>
      </c>
      <c r="D330" s="1" t="s">
        <v>541</v>
      </c>
    </row>
    <row r="331" spans="1:4">
      <c r="A331" s="1" t="s">
        <v>1168</v>
      </c>
      <c r="B331" s="1" t="s">
        <v>1175</v>
      </c>
      <c r="C331" s="1" t="s">
        <v>1176</v>
      </c>
      <c r="D331" s="1" t="s">
        <v>541</v>
      </c>
    </row>
    <row r="332" spans="1:4">
      <c r="A332" s="1" t="s">
        <v>1168</v>
      </c>
      <c r="B332" s="1" t="s">
        <v>1168</v>
      </c>
      <c r="C332" s="1" t="s">
        <v>1169</v>
      </c>
      <c r="D332" s="1" t="s">
        <v>532</v>
      </c>
    </row>
    <row r="333" spans="1:4">
      <c r="A333" s="1" t="s">
        <v>1168</v>
      </c>
      <c r="B333" s="1" t="s">
        <v>1177</v>
      </c>
      <c r="C333" s="1" t="s">
        <v>1178</v>
      </c>
      <c r="D333" s="1" t="s">
        <v>541</v>
      </c>
    </row>
    <row r="334" spans="1:4">
      <c r="A334" s="1" t="s">
        <v>1179</v>
      </c>
      <c r="B334" s="1" t="s">
        <v>1181</v>
      </c>
      <c r="C334" s="1" t="s">
        <v>1182</v>
      </c>
      <c r="D334" s="1" t="s">
        <v>541</v>
      </c>
    </row>
    <row r="335" spans="1:4">
      <c r="A335" s="1" t="s">
        <v>1179</v>
      </c>
      <c r="B335" s="1" t="s">
        <v>1183</v>
      </c>
      <c r="C335" s="1" t="s">
        <v>1184</v>
      </c>
      <c r="D335" s="1" t="s">
        <v>541</v>
      </c>
    </row>
    <row r="336" spans="1:4">
      <c r="A336" s="1" t="s">
        <v>1179</v>
      </c>
      <c r="B336" s="1" t="s">
        <v>1185</v>
      </c>
      <c r="C336" s="1" t="s">
        <v>1186</v>
      </c>
      <c r="D336" s="1" t="s">
        <v>541</v>
      </c>
    </row>
    <row r="337" spans="1:4">
      <c r="A337" s="1" t="s">
        <v>1179</v>
      </c>
      <c r="B337" s="1" t="s">
        <v>1187</v>
      </c>
      <c r="C337" s="1" t="s">
        <v>1188</v>
      </c>
      <c r="D337" s="1" t="s">
        <v>541</v>
      </c>
    </row>
    <row r="338" spans="1:4">
      <c r="A338" s="1" t="s">
        <v>1179</v>
      </c>
      <c r="B338" s="1" t="s">
        <v>1189</v>
      </c>
      <c r="C338" s="1" t="s">
        <v>1190</v>
      </c>
      <c r="D338" s="1" t="s">
        <v>541</v>
      </c>
    </row>
    <row r="339" spans="1:4">
      <c r="A339" s="1" t="s">
        <v>1179</v>
      </c>
      <c r="B339" s="1" t="s">
        <v>1191</v>
      </c>
      <c r="C339" s="1" t="s">
        <v>1192</v>
      </c>
      <c r="D339" s="1" t="s">
        <v>541</v>
      </c>
    </row>
    <row r="340" spans="1:4">
      <c r="A340" s="1" t="s">
        <v>1179</v>
      </c>
      <c r="B340" s="1" t="s">
        <v>1193</v>
      </c>
      <c r="C340" s="1" t="s">
        <v>1194</v>
      </c>
      <c r="D340" s="1" t="s">
        <v>541</v>
      </c>
    </row>
    <row r="341" spans="1:4">
      <c r="A341" s="1" t="s">
        <v>1179</v>
      </c>
      <c r="B341" s="1" t="s">
        <v>1179</v>
      </c>
      <c r="C341" s="1" t="s">
        <v>1180</v>
      </c>
      <c r="D341" s="1" t="s">
        <v>532</v>
      </c>
    </row>
    <row r="342" spans="1:4">
      <c r="A342" s="1" t="s">
        <v>1179</v>
      </c>
      <c r="B342" s="1" t="s">
        <v>1195</v>
      </c>
      <c r="C342" s="1" t="s">
        <v>1196</v>
      </c>
      <c r="D342" s="1" t="s">
        <v>541</v>
      </c>
    </row>
    <row r="343" spans="1:4">
      <c r="A343" s="1" t="s">
        <v>1197</v>
      </c>
      <c r="B343" s="1" t="s">
        <v>1199</v>
      </c>
      <c r="C343" s="1" t="s">
        <v>1200</v>
      </c>
      <c r="D343" s="1" t="s">
        <v>541</v>
      </c>
    </row>
    <row r="344" spans="1:4">
      <c r="A344" s="1" t="s">
        <v>1197</v>
      </c>
      <c r="B344" s="1" t="s">
        <v>1201</v>
      </c>
      <c r="C344" s="1" t="s">
        <v>1202</v>
      </c>
      <c r="D344" s="1" t="s">
        <v>541</v>
      </c>
    </row>
    <row r="345" spans="1:4">
      <c r="A345" s="1" t="s">
        <v>1197</v>
      </c>
      <c r="B345" s="1" t="s">
        <v>1203</v>
      </c>
      <c r="C345" s="1" t="s">
        <v>1204</v>
      </c>
      <c r="D345" s="1" t="s">
        <v>541</v>
      </c>
    </row>
    <row r="346" spans="1:4">
      <c r="A346" s="1" t="s">
        <v>1197</v>
      </c>
      <c r="B346" s="1" t="s">
        <v>1205</v>
      </c>
      <c r="C346" s="1" t="s">
        <v>1206</v>
      </c>
      <c r="D346" s="1" t="s">
        <v>541</v>
      </c>
    </row>
    <row r="347" spans="1:4">
      <c r="A347" s="1" t="s">
        <v>1197</v>
      </c>
      <c r="B347" s="1" t="s">
        <v>1207</v>
      </c>
      <c r="C347" s="1" t="s">
        <v>1208</v>
      </c>
      <c r="D347" s="1" t="s">
        <v>541</v>
      </c>
    </row>
    <row r="348" spans="1:4">
      <c r="A348" s="1" t="s">
        <v>1197</v>
      </c>
      <c r="B348" s="1" t="s">
        <v>1209</v>
      </c>
      <c r="C348" s="1" t="s">
        <v>1210</v>
      </c>
      <c r="D348" s="1" t="s">
        <v>541</v>
      </c>
    </row>
    <row r="349" spans="1:4">
      <c r="A349" s="1" t="s">
        <v>1197</v>
      </c>
      <c r="B349" s="1" t="s">
        <v>1211</v>
      </c>
      <c r="C349" s="1" t="s">
        <v>1212</v>
      </c>
      <c r="D349" s="1" t="s">
        <v>541</v>
      </c>
    </row>
    <row r="350" spans="1:4">
      <c r="A350" s="1" t="s">
        <v>1197</v>
      </c>
      <c r="B350" s="1" t="s">
        <v>1213</v>
      </c>
      <c r="C350" s="1" t="s">
        <v>1214</v>
      </c>
      <c r="D350" s="1" t="s">
        <v>541</v>
      </c>
    </row>
    <row r="351" spans="1:4">
      <c r="A351" s="1" t="s">
        <v>1197</v>
      </c>
      <c r="B351" s="1" t="s">
        <v>1215</v>
      </c>
      <c r="C351" s="1" t="s">
        <v>1216</v>
      </c>
      <c r="D351" s="1" t="s">
        <v>541</v>
      </c>
    </row>
    <row r="352" spans="1:4">
      <c r="A352" s="1" t="s">
        <v>1197</v>
      </c>
      <c r="B352" s="1" t="s">
        <v>1217</v>
      </c>
      <c r="C352" s="1" t="s">
        <v>1218</v>
      </c>
      <c r="D352" s="1" t="s">
        <v>541</v>
      </c>
    </row>
    <row r="353" spans="1:4">
      <c r="A353" s="1" t="s">
        <v>1197</v>
      </c>
      <c r="B353" s="1" t="s">
        <v>1197</v>
      </c>
      <c r="C353" s="1" t="s">
        <v>1198</v>
      </c>
      <c r="D353" s="1" t="s">
        <v>532</v>
      </c>
    </row>
    <row r="354" spans="1:4">
      <c r="A354" s="1" t="s">
        <v>1197</v>
      </c>
      <c r="B354" s="1" t="s">
        <v>1219</v>
      </c>
      <c r="C354" s="1" t="s">
        <v>1220</v>
      </c>
      <c r="D354" s="1" t="s">
        <v>535</v>
      </c>
    </row>
    <row r="355" spans="1:4">
      <c r="A355" s="1" t="s">
        <v>1197</v>
      </c>
      <c r="B355" s="1" t="s">
        <v>1221</v>
      </c>
      <c r="C355" s="1" t="s">
        <v>1222</v>
      </c>
      <c r="D355" s="1" t="s">
        <v>541</v>
      </c>
    </row>
    <row r="356" spans="1:4">
      <c r="A356" s="1" t="s">
        <v>1223</v>
      </c>
      <c r="B356" s="1" t="s">
        <v>1225</v>
      </c>
      <c r="C356" s="1" t="s">
        <v>1226</v>
      </c>
      <c r="D356" s="1" t="s">
        <v>541</v>
      </c>
    </row>
    <row r="357" spans="1:4">
      <c r="A357" s="1" t="s">
        <v>1223</v>
      </c>
      <c r="B357" s="1" t="s">
        <v>1227</v>
      </c>
      <c r="C357" s="1" t="s">
        <v>1228</v>
      </c>
      <c r="D357" s="1" t="s">
        <v>541</v>
      </c>
    </row>
    <row r="358" spans="1:4">
      <c r="A358" s="1" t="s">
        <v>1223</v>
      </c>
      <c r="B358" s="1" t="s">
        <v>1229</v>
      </c>
      <c r="C358" s="1" t="s">
        <v>1230</v>
      </c>
      <c r="D358" s="1" t="s">
        <v>541</v>
      </c>
    </row>
    <row r="359" spans="1:4">
      <c r="A359" s="1" t="s">
        <v>1223</v>
      </c>
      <c r="B359" s="1" t="s">
        <v>1231</v>
      </c>
      <c r="C359" s="1" t="s">
        <v>1232</v>
      </c>
      <c r="D359" s="1" t="s">
        <v>541</v>
      </c>
    </row>
    <row r="360" spans="1:4">
      <c r="A360" s="1" t="s">
        <v>1223</v>
      </c>
      <c r="B360" s="1" t="s">
        <v>1233</v>
      </c>
      <c r="C360" s="1" t="s">
        <v>1234</v>
      </c>
      <c r="D360" s="1" t="s">
        <v>541</v>
      </c>
    </row>
    <row r="361" spans="1:4">
      <c r="A361" s="1" t="s">
        <v>1223</v>
      </c>
      <c r="B361" s="1" t="s">
        <v>1235</v>
      </c>
      <c r="C361" s="1" t="s">
        <v>1236</v>
      </c>
      <c r="D361" s="1" t="s">
        <v>541</v>
      </c>
    </row>
    <row r="362" spans="1:4">
      <c r="A362" s="1" t="s">
        <v>1223</v>
      </c>
      <c r="B362" s="1" t="s">
        <v>1237</v>
      </c>
      <c r="C362" s="1" t="s">
        <v>1238</v>
      </c>
      <c r="D362" s="1" t="s">
        <v>541</v>
      </c>
    </row>
    <row r="363" spans="1:4">
      <c r="A363" s="1" t="s">
        <v>1223</v>
      </c>
      <c r="B363" s="1" t="s">
        <v>1239</v>
      </c>
      <c r="C363" s="1" t="s">
        <v>1240</v>
      </c>
      <c r="D363" s="1" t="s">
        <v>541</v>
      </c>
    </row>
    <row r="364" spans="1:4">
      <c r="A364" s="1" t="s">
        <v>1223</v>
      </c>
      <c r="B364" s="1" t="s">
        <v>1241</v>
      </c>
      <c r="C364" s="1" t="s">
        <v>1242</v>
      </c>
      <c r="D364" s="1" t="s">
        <v>541</v>
      </c>
    </row>
    <row r="365" spans="1:4">
      <c r="A365" s="1" t="s">
        <v>1223</v>
      </c>
      <c r="B365" s="1" t="s">
        <v>1223</v>
      </c>
      <c r="C365" s="1" t="s">
        <v>1224</v>
      </c>
      <c r="D365" s="1" t="s">
        <v>532</v>
      </c>
    </row>
    <row r="366" spans="1:4">
      <c r="A366" s="1" t="s">
        <v>1223</v>
      </c>
      <c r="B366" s="1" t="s">
        <v>1243</v>
      </c>
      <c r="C366" s="1" t="s">
        <v>1244</v>
      </c>
      <c r="D366" s="1" t="s">
        <v>535</v>
      </c>
    </row>
    <row r="367" spans="1:4">
      <c r="A367" s="1" t="s">
        <v>1245</v>
      </c>
      <c r="B367" s="1" t="s">
        <v>1247</v>
      </c>
      <c r="C367" s="1" t="s">
        <v>1248</v>
      </c>
      <c r="D367" s="1" t="s">
        <v>541</v>
      </c>
    </row>
    <row r="368" spans="1:4">
      <c r="A368" s="1" t="s">
        <v>1245</v>
      </c>
      <c r="B368" s="1" t="s">
        <v>1249</v>
      </c>
      <c r="C368" s="1" t="s">
        <v>1250</v>
      </c>
      <c r="D368" s="1" t="s">
        <v>541</v>
      </c>
    </row>
    <row r="369" spans="1:4">
      <c r="A369" s="1" t="s">
        <v>1245</v>
      </c>
      <c r="B369" s="1" t="s">
        <v>1251</v>
      </c>
      <c r="C369" s="1" t="s">
        <v>1252</v>
      </c>
      <c r="D369" s="1" t="s">
        <v>541</v>
      </c>
    </row>
    <row r="370" spans="1:4">
      <c r="A370" s="1" t="s">
        <v>1245</v>
      </c>
      <c r="B370" s="1" t="s">
        <v>1253</v>
      </c>
      <c r="C370" s="1" t="s">
        <v>1254</v>
      </c>
      <c r="D370" s="1" t="s">
        <v>541</v>
      </c>
    </row>
    <row r="371" spans="1:4">
      <c r="A371" s="1" t="s">
        <v>1245</v>
      </c>
      <c r="B371" s="1" t="s">
        <v>1255</v>
      </c>
      <c r="C371" s="1" t="s">
        <v>1256</v>
      </c>
      <c r="D371" s="1" t="s">
        <v>541</v>
      </c>
    </row>
    <row r="372" spans="1:4">
      <c r="A372" s="1" t="s">
        <v>1245</v>
      </c>
      <c r="B372" s="1" t="s">
        <v>1257</v>
      </c>
      <c r="C372" s="1" t="s">
        <v>1258</v>
      </c>
      <c r="D372" s="1" t="s">
        <v>541</v>
      </c>
    </row>
    <row r="373" spans="1:4">
      <c r="A373" s="1" t="s">
        <v>1245</v>
      </c>
      <c r="B373" s="1" t="s">
        <v>1056</v>
      </c>
      <c r="C373" s="1" t="s">
        <v>1259</v>
      </c>
      <c r="D373" s="1" t="s">
        <v>541</v>
      </c>
    </row>
    <row r="374" spans="1:4">
      <c r="A374" s="1" t="s">
        <v>1245</v>
      </c>
      <c r="B374" s="1" t="s">
        <v>1260</v>
      </c>
      <c r="C374" s="1" t="s">
        <v>1261</v>
      </c>
      <c r="D374" s="1" t="s">
        <v>541</v>
      </c>
    </row>
    <row r="375" spans="1:4">
      <c r="A375" s="1" t="s">
        <v>1245</v>
      </c>
      <c r="B375" s="1" t="s">
        <v>1262</v>
      </c>
      <c r="C375" s="1" t="s">
        <v>1263</v>
      </c>
      <c r="D375" s="1" t="s">
        <v>541</v>
      </c>
    </row>
    <row r="376" spans="1:4">
      <c r="A376" s="1" t="s">
        <v>1245</v>
      </c>
      <c r="B376" s="1" t="s">
        <v>1245</v>
      </c>
      <c r="C376" s="1" t="s">
        <v>1246</v>
      </c>
      <c r="D376" s="1" t="s">
        <v>532</v>
      </c>
    </row>
    <row r="377" spans="1:4">
      <c r="A377" s="1" t="s">
        <v>1245</v>
      </c>
      <c r="B377" s="1" t="s">
        <v>1264</v>
      </c>
      <c r="C377" s="1" t="s">
        <v>1265</v>
      </c>
      <c r="D377" s="1" t="s">
        <v>535</v>
      </c>
    </row>
    <row r="378" spans="1:4">
      <c r="A378" s="1" t="s">
        <v>1245</v>
      </c>
      <c r="B378" s="1" t="s">
        <v>1266</v>
      </c>
      <c r="C378" s="1" t="s">
        <v>1267</v>
      </c>
      <c r="D378" s="1" t="s">
        <v>541</v>
      </c>
    </row>
    <row r="379" spans="1:4">
      <c r="A379" s="1" t="s">
        <v>1245</v>
      </c>
      <c r="B379" s="1" t="s">
        <v>1268</v>
      </c>
      <c r="C379" s="1" t="s">
        <v>1269</v>
      </c>
      <c r="D379" s="1" t="s">
        <v>541</v>
      </c>
    </row>
    <row r="380" spans="1:4">
      <c r="A380" s="1" t="s">
        <v>1245</v>
      </c>
      <c r="B380" s="1" t="s">
        <v>1270</v>
      </c>
      <c r="C380" s="1" t="s">
        <v>1271</v>
      </c>
      <c r="D380" s="1" t="s">
        <v>541</v>
      </c>
    </row>
    <row r="381" spans="1:4">
      <c r="A381" s="1" t="s">
        <v>1272</v>
      </c>
      <c r="B381" s="1" t="s">
        <v>1274</v>
      </c>
      <c r="C381" s="1" t="s">
        <v>1275</v>
      </c>
      <c r="D381" s="1" t="s">
        <v>541</v>
      </c>
    </row>
    <row r="382" spans="1:4">
      <c r="A382" s="1" t="s">
        <v>1272</v>
      </c>
      <c r="B382" s="1" t="s">
        <v>1276</v>
      </c>
      <c r="C382" s="1" t="s">
        <v>1277</v>
      </c>
      <c r="D382" s="1" t="s">
        <v>541</v>
      </c>
    </row>
    <row r="383" spans="1:4">
      <c r="A383" s="1" t="s">
        <v>1272</v>
      </c>
      <c r="B383" s="1" t="s">
        <v>1278</v>
      </c>
      <c r="C383" s="1" t="s">
        <v>1279</v>
      </c>
      <c r="D383" s="1" t="s">
        <v>538</v>
      </c>
    </row>
    <row r="384" spans="1:4">
      <c r="A384" s="1" t="s">
        <v>1272</v>
      </c>
      <c r="B384" s="1" t="s">
        <v>1280</v>
      </c>
      <c r="C384" s="1" t="s">
        <v>1281</v>
      </c>
      <c r="D384" s="1" t="s">
        <v>541</v>
      </c>
    </row>
    <row r="385" spans="1:4">
      <c r="A385" s="1" t="s">
        <v>1272</v>
      </c>
      <c r="B385" s="1" t="s">
        <v>1282</v>
      </c>
      <c r="C385" s="1" t="s">
        <v>1283</v>
      </c>
      <c r="D385" s="1" t="s">
        <v>538</v>
      </c>
    </row>
    <row r="386" spans="1:4">
      <c r="A386" s="1" t="s">
        <v>1272</v>
      </c>
      <c r="B386" s="1" t="s">
        <v>832</v>
      </c>
      <c r="C386" s="1" t="s">
        <v>1284</v>
      </c>
      <c r="D386" s="1" t="s">
        <v>541</v>
      </c>
    </row>
    <row r="387" spans="1:4">
      <c r="A387" s="1" t="s">
        <v>1272</v>
      </c>
      <c r="B387" s="1" t="s">
        <v>1285</v>
      </c>
      <c r="C387" s="1" t="s">
        <v>1286</v>
      </c>
      <c r="D387" s="1" t="s">
        <v>541</v>
      </c>
    </row>
    <row r="388" spans="1:4">
      <c r="A388" s="1" t="s">
        <v>1272</v>
      </c>
      <c r="B388" s="1" t="s">
        <v>1272</v>
      </c>
      <c r="C388" s="1" t="s">
        <v>1273</v>
      </c>
      <c r="D388" s="1" t="s">
        <v>532</v>
      </c>
    </row>
    <row r="389" spans="1:4">
      <c r="A389" s="1" t="s">
        <v>1272</v>
      </c>
      <c r="B389" s="1" t="s">
        <v>1287</v>
      </c>
      <c r="C389" s="1" t="s">
        <v>1288</v>
      </c>
      <c r="D389" s="1" t="s">
        <v>535</v>
      </c>
    </row>
    <row r="390" spans="1:4">
      <c r="A390" s="1" t="s">
        <v>1272</v>
      </c>
      <c r="B390" s="1" t="s">
        <v>1289</v>
      </c>
      <c r="C390" s="1" t="s">
        <v>1290</v>
      </c>
      <c r="D390" s="1" t="s">
        <v>541</v>
      </c>
    </row>
    <row r="391" spans="1:4">
      <c r="A391" s="1" t="s">
        <v>1272</v>
      </c>
      <c r="B391" s="1" t="s">
        <v>1291</v>
      </c>
      <c r="C391" s="1" t="s">
        <v>1292</v>
      </c>
      <c r="D391" s="1" t="s">
        <v>541</v>
      </c>
    </row>
    <row r="392" spans="1:4">
      <c r="A392" s="1" t="s">
        <v>1293</v>
      </c>
      <c r="B392" s="1" t="s">
        <v>1076</v>
      </c>
      <c r="C392" s="1" t="s">
        <v>1295</v>
      </c>
      <c r="D392" s="1" t="s">
        <v>541</v>
      </c>
    </row>
    <row r="393" spans="1:4">
      <c r="A393" s="1" t="s">
        <v>1293</v>
      </c>
      <c r="B393" s="1" t="s">
        <v>1296</v>
      </c>
      <c r="C393" s="1" t="s">
        <v>1297</v>
      </c>
      <c r="D393" s="1" t="s">
        <v>541</v>
      </c>
    </row>
    <row r="394" spans="1:4">
      <c r="A394" s="1" t="s">
        <v>1293</v>
      </c>
      <c r="B394" s="1" t="s">
        <v>1298</v>
      </c>
      <c r="C394" s="1" t="s">
        <v>1299</v>
      </c>
      <c r="D394" s="1" t="s">
        <v>541</v>
      </c>
    </row>
    <row r="395" spans="1:4">
      <c r="A395" s="1" t="s">
        <v>1293</v>
      </c>
      <c r="B395" s="1" t="s">
        <v>1300</v>
      </c>
      <c r="C395" s="1" t="s">
        <v>1301</v>
      </c>
      <c r="D395" s="1" t="s">
        <v>541</v>
      </c>
    </row>
    <row r="396" spans="1:4">
      <c r="A396" s="1" t="s">
        <v>1293</v>
      </c>
      <c r="B396" s="1" t="s">
        <v>1302</v>
      </c>
      <c r="C396" s="1" t="s">
        <v>1303</v>
      </c>
      <c r="D396" s="1" t="s">
        <v>541</v>
      </c>
    </row>
    <row r="397" spans="1:4">
      <c r="A397" s="1" t="s">
        <v>1293</v>
      </c>
      <c r="B397" s="1" t="s">
        <v>1304</v>
      </c>
      <c r="C397" s="1" t="s">
        <v>1305</v>
      </c>
      <c r="D397" s="1" t="s">
        <v>541</v>
      </c>
    </row>
    <row r="398" spans="1:4">
      <c r="A398" s="1" t="s">
        <v>1293</v>
      </c>
      <c r="B398" s="1" t="s">
        <v>1306</v>
      </c>
      <c r="C398" s="1" t="s">
        <v>1307</v>
      </c>
      <c r="D398" s="1" t="s">
        <v>541</v>
      </c>
    </row>
    <row r="399" spans="1:4">
      <c r="A399" s="1" t="s">
        <v>1293</v>
      </c>
      <c r="B399" s="1" t="s">
        <v>1308</v>
      </c>
      <c r="C399" s="1" t="s">
        <v>1309</v>
      </c>
      <c r="D399" s="1" t="s">
        <v>541</v>
      </c>
    </row>
    <row r="400" spans="1:4">
      <c r="A400" s="1" t="s">
        <v>1293</v>
      </c>
      <c r="B400" s="1" t="s">
        <v>1310</v>
      </c>
      <c r="C400" s="1" t="s">
        <v>1311</v>
      </c>
      <c r="D400" s="1" t="s">
        <v>541</v>
      </c>
    </row>
    <row r="401" spans="1:4">
      <c r="A401" s="1" t="s">
        <v>1293</v>
      </c>
      <c r="B401" s="1" t="s">
        <v>1293</v>
      </c>
      <c r="C401" s="1" t="s">
        <v>1294</v>
      </c>
      <c r="D401" s="1" t="s">
        <v>532</v>
      </c>
    </row>
    <row r="402" spans="1:4">
      <c r="A402" s="1" t="s">
        <v>1293</v>
      </c>
      <c r="B402" s="1" t="s">
        <v>584</v>
      </c>
      <c r="C402" s="1" t="s">
        <v>1312</v>
      </c>
      <c r="D402" s="1" t="s">
        <v>541</v>
      </c>
    </row>
    <row r="403" spans="1:4">
      <c r="A403" s="1" t="s">
        <v>1313</v>
      </c>
      <c r="B403" s="1" t="s">
        <v>722</v>
      </c>
      <c r="C403" s="1" t="s">
        <v>1315</v>
      </c>
      <c r="D403" s="1" t="s">
        <v>541</v>
      </c>
    </row>
    <row r="404" spans="1:4">
      <c r="A404" s="1" t="s">
        <v>1313</v>
      </c>
      <c r="B404" s="1" t="s">
        <v>1251</v>
      </c>
      <c r="C404" s="1" t="s">
        <v>1316</v>
      </c>
      <c r="D404" s="1" t="s">
        <v>541</v>
      </c>
    </row>
    <row r="405" spans="1:4">
      <c r="A405" s="1" t="s">
        <v>1313</v>
      </c>
      <c r="B405" s="1" t="s">
        <v>1317</v>
      </c>
      <c r="C405" s="1" t="s">
        <v>1318</v>
      </c>
      <c r="D405" s="1" t="s">
        <v>541</v>
      </c>
    </row>
    <row r="406" spans="1:4">
      <c r="A406" s="1" t="s">
        <v>1313</v>
      </c>
      <c r="B406" s="1" t="s">
        <v>1319</v>
      </c>
      <c r="C406" s="1" t="s">
        <v>1320</v>
      </c>
      <c r="D406" s="1" t="s">
        <v>541</v>
      </c>
    </row>
    <row r="407" spans="1:4">
      <c r="A407" s="1" t="s">
        <v>1313</v>
      </c>
      <c r="B407" s="1" t="s">
        <v>958</v>
      </c>
      <c r="C407" s="1" t="s">
        <v>1321</v>
      </c>
      <c r="D407" s="1" t="s">
        <v>541</v>
      </c>
    </row>
    <row r="408" spans="1:4">
      <c r="A408" s="1" t="s">
        <v>1313</v>
      </c>
      <c r="B408" s="1" t="s">
        <v>1322</v>
      </c>
      <c r="C408" s="1" t="s">
        <v>1323</v>
      </c>
      <c r="D408" s="1" t="s">
        <v>541</v>
      </c>
    </row>
    <row r="409" spans="1:4">
      <c r="A409" s="1" t="s">
        <v>1313</v>
      </c>
      <c r="B409" s="1" t="s">
        <v>1324</v>
      </c>
      <c r="C409" s="1" t="s">
        <v>1325</v>
      </c>
      <c r="D409" s="1" t="s">
        <v>541</v>
      </c>
    </row>
    <row r="410" spans="1:4">
      <c r="A410" s="1" t="s">
        <v>1313</v>
      </c>
      <c r="B410" s="1" t="s">
        <v>1326</v>
      </c>
      <c r="C410" s="1" t="s">
        <v>1327</v>
      </c>
      <c r="D410" s="1" t="s">
        <v>541</v>
      </c>
    </row>
    <row r="411" spans="1:4">
      <c r="A411" s="1" t="s">
        <v>1313</v>
      </c>
      <c r="B411" s="1" t="s">
        <v>1328</v>
      </c>
      <c r="C411" s="1" t="s">
        <v>1329</v>
      </c>
      <c r="D411" s="1" t="s">
        <v>541</v>
      </c>
    </row>
    <row r="412" spans="1:4">
      <c r="A412" s="1" t="s">
        <v>1313</v>
      </c>
      <c r="B412" s="1" t="s">
        <v>1330</v>
      </c>
      <c r="C412" s="1" t="s">
        <v>1331</v>
      </c>
      <c r="D412" s="1" t="s">
        <v>541</v>
      </c>
    </row>
    <row r="413" spans="1:4">
      <c r="A413" s="1" t="s">
        <v>1313</v>
      </c>
      <c r="B413" s="1" t="s">
        <v>1332</v>
      </c>
      <c r="C413" s="1" t="s">
        <v>1333</v>
      </c>
      <c r="D413" s="1" t="s">
        <v>541</v>
      </c>
    </row>
    <row r="414" spans="1:4">
      <c r="A414" s="1" t="s">
        <v>1313</v>
      </c>
      <c r="B414" s="1" t="s">
        <v>1334</v>
      </c>
      <c r="C414" s="1" t="s">
        <v>1335</v>
      </c>
      <c r="D414" s="1" t="s">
        <v>541</v>
      </c>
    </row>
    <row r="415" spans="1:4">
      <c r="A415" s="1" t="s">
        <v>1313</v>
      </c>
      <c r="B415" s="1" t="s">
        <v>1336</v>
      </c>
      <c r="C415" s="1" t="s">
        <v>1337</v>
      </c>
      <c r="D415" s="1" t="s">
        <v>541</v>
      </c>
    </row>
    <row r="416" spans="1:4">
      <c r="A416" s="1" t="s">
        <v>1313</v>
      </c>
      <c r="B416" s="1" t="s">
        <v>1285</v>
      </c>
      <c r="C416" s="1" t="s">
        <v>1338</v>
      </c>
      <c r="D416" s="1" t="s">
        <v>541</v>
      </c>
    </row>
    <row r="417" spans="1:4">
      <c r="A417" s="1" t="s">
        <v>1313</v>
      </c>
      <c r="B417" s="1" t="s">
        <v>1313</v>
      </c>
      <c r="C417" s="1" t="s">
        <v>1314</v>
      </c>
      <c r="D417" s="1" t="s">
        <v>532</v>
      </c>
    </row>
    <row r="418" spans="1:4">
      <c r="A418" s="1" t="s">
        <v>1313</v>
      </c>
      <c r="B418" s="1" t="s">
        <v>1339</v>
      </c>
      <c r="C418" s="1" t="s">
        <v>1340</v>
      </c>
      <c r="D418" s="1" t="s">
        <v>535</v>
      </c>
    </row>
    <row r="419" spans="1:4">
      <c r="A419" s="1" t="s">
        <v>1341</v>
      </c>
      <c r="B419" s="1" t="s">
        <v>1343</v>
      </c>
      <c r="C419" s="1" t="s">
        <v>1344</v>
      </c>
      <c r="D419" s="1" t="s">
        <v>541</v>
      </c>
    </row>
    <row r="420" spans="1:4">
      <c r="A420" s="1" t="s">
        <v>1341</v>
      </c>
      <c r="B420" s="1" t="s">
        <v>1345</v>
      </c>
      <c r="C420" s="1" t="s">
        <v>1346</v>
      </c>
      <c r="D420" s="1" t="s">
        <v>541</v>
      </c>
    </row>
    <row r="421" spans="1:4">
      <c r="A421" s="1" t="s">
        <v>1341</v>
      </c>
      <c r="B421" s="1" t="s">
        <v>1347</v>
      </c>
      <c r="C421" s="1" t="s">
        <v>1348</v>
      </c>
      <c r="D421" s="1" t="s">
        <v>541</v>
      </c>
    </row>
    <row r="422" spans="1:4">
      <c r="A422" s="1" t="s">
        <v>1341</v>
      </c>
      <c r="B422" s="1" t="s">
        <v>1304</v>
      </c>
      <c r="C422" s="1" t="s">
        <v>1349</v>
      </c>
      <c r="D422" s="1" t="s">
        <v>541</v>
      </c>
    </row>
    <row r="423" spans="1:4">
      <c r="A423" s="1" t="s">
        <v>1341</v>
      </c>
      <c r="B423" s="1" t="s">
        <v>1350</v>
      </c>
      <c r="C423" s="1" t="s">
        <v>1351</v>
      </c>
      <c r="D423" s="1" t="s">
        <v>541</v>
      </c>
    </row>
    <row r="424" spans="1:4">
      <c r="A424" s="1" t="s">
        <v>1341</v>
      </c>
      <c r="B424" s="1" t="s">
        <v>1352</v>
      </c>
      <c r="C424" s="1" t="s">
        <v>1353</v>
      </c>
      <c r="D424" s="1" t="s">
        <v>541</v>
      </c>
    </row>
    <row r="425" spans="1:4">
      <c r="A425" s="1" t="s">
        <v>1341</v>
      </c>
      <c r="B425" s="1" t="s">
        <v>1354</v>
      </c>
      <c r="C425" s="1" t="s">
        <v>1355</v>
      </c>
      <c r="D425" s="1" t="s">
        <v>541</v>
      </c>
    </row>
    <row r="426" spans="1:4">
      <c r="A426" s="1" t="s">
        <v>1341</v>
      </c>
      <c r="B426" s="1" t="s">
        <v>1341</v>
      </c>
      <c r="C426" s="1" t="s">
        <v>1342</v>
      </c>
      <c r="D426" s="1" t="s">
        <v>532</v>
      </c>
    </row>
    <row r="427" spans="1:4">
      <c r="A427" s="1" t="s">
        <v>1341</v>
      </c>
      <c r="B427" s="1" t="s">
        <v>1356</v>
      </c>
      <c r="C427" s="1" t="s">
        <v>1357</v>
      </c>
      <c r="D427" s="1" t="s">
        <v>541</v>
      </c>
    </row>
  </sheetData>
  <phoneticPr fontId="4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EGRUL">
    <tabColor rgb="FFFFCC99"/>
  </sheetPr>
  <dimension ref="B1:L33"/>
  <sheetViews>
    <sheetView showGridLines="0" showRowColHeaders="0" workbookViewId="0">
      <selection activeCell="N29" sqref="N29"/>
    </sheetView>
  </sheetViews>
  <sheetFormatPr defaultRowHeight="12.75"/>
  <cols>
    <col min="1" max="16384" width="9.140625" style="80"/>
  </cols>
  <sheetData>
    <row r="1" spans="2:12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2:1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2:12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2:12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2:12"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2:12"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2:12"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2:12"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2:12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2:12"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2:12"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2:12"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2:12"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2:1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2:12"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2:12"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2:12"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2:12"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2:12"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</row>
    <row r="20" spans="2:12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2:12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2:12"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2:12"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2:12"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2:12"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2:12"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2:12"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2:12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2:12"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2:12"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2:12"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2:12"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2:12"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zoomScaleNormal="100" workbookViewId="0">
      <selection activeCell="L23" sqref="L23"/>
    </sheetView>
  </sheetViews>
  <sheetFormatPr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85" workbookViewId="0"/>
  </sheetViews>
  <sheetFormatPr defaultRowHeight="11.25"/>
  <cols>
    <col min="1" max="16384" width="9.140625" style="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111">
    <tabColor indexed="31"/>
    <pageSetUpPr fitToPage="1"/>
  </sheetPr>
  <dimension ref="A1:CC185"/>
  <sheetViews>
    <sheetView showGridLines="0" topLeftCell="C7" zoomScaleNormal="100" workbookViewId="0">
      <pane xSplit="4" ySplit="6" topLeftCell="G109" activePane="bottomRight" state="frozen"/>
      <selection activeCell="C7" sqref="C7"/>
      <selection pane="topRight" activeCell="G7" sqref="G7"/>
      <selection pane="bottomLeft" activeCell="C13" sqref="C13"/>
      <selection pane="bottomRight" activeCell="D129" sqref="D129:K129"/>
    </sheetView>
  </sheetViews>
  <sheetFormatPr defaultRowHeight="11.25"/>
  <cols>
    <col min="1" max="2" width="9.140625" style="26" hidden="1" customWidth="1"/>
    <col min="3" max="3" width="4.140625" style="26" customWidth="1"/>
    <col min="4" max="4" width="9.140625" style="26" customWidth="1"/>
    <col min="5" max="5" width="69" style="26" customWidth="1"/>
    <col min="6" max="6" width="6.7109375" style="26" customWidth="1"/>
    <col min="7" max="11" width="15.7109375" style="26" customWidth="1"/>
    <col min="12" max="12" width="6.7109375" style="26" customWidth="1"/>
    <col min="13" max="16" width="15.7109375" style="26" customWidth="1"/>
    <col min="17" max="35" width="11.7109375" style="26" customWidth="1"/>
    <col min="36" max="16384" width="9.140625" style="26"/>
  </cols>
  <sheetData>
    <row r="1" spans="1:81" hidden="1">
      <c r="S1" s="78"/>
      <c r="T1" s="78"/>
      <c r="U1" s="78"/>
      <c r="V1" s="78"/>
      <c r="Y1" s="78"/>
      <c r="AA1" s="78"/>
      <c r="AN1" s="78"/>
      <c r="AO1" s="78"/>
      <c r="AP1" s="78"/>
      <c r="BC1" s="78"/>
      <c r="BF1" s="78"/>
      <c r="BG1" s="78"/>
      <c r="BI1" s="78"/>
      <c r="BM1" s="78"/>
      <c r="BO1" s="78"/>
      <c r="BX1" s="78"/>
      <c r="BY1" s="78"/>
      <c r="CC1" s="78"/>
    </row>
    <row r="2" spans="1:81" hidden="1"/>
    <row r="3" spans="1:81" hidden="1"/>
    <row r="4" spans="1:81" hidden="1">
      <c r="A4" s="35"/>
      <c r="F4" s="36"/>
      <c r="G4" s="36"/>
      <c r="H4" s="36"/>
      <c r="I4" s="36"/>
      <c r="J4" s="36"/>
      <c r="K4" s="36"/>
      <c r="M4" s="36"/>
      <c r="N4" s="36"/>
      <c r="O4" s="36"/>
      <c r="P4" s="36"/>
      <c r="Q4" s="36"/>
    </row>
    <row r="5" spans="1:81" hidden="1">
      <c r="A5" s="37"/>
      <c r="F5" s="26" t="s">
        <v>142</v>
      </c>
      <c r="G5" s="26" t="s">
        <v>143</v>
      </c>
      <c r="H5" s="26" t="s">
        <v>144</v>
      </c>
      <c r="I5" s="26" t="s">
        <v>145</v>
      </c>
      <c r="J5" s="26" t="s">
        <v>146</v>
      </c>
      <c r="K5" s="26" t="s">
        <v>147</v>
      </c>
      <c r="L5" s="26" t="s">
        <v>148</v>
      </c>
      <c r="M5" s="26" t="s">
        <v>149</v>
      </c>
      <c r="N5" s="26" t="s">
        <v>149</v>
      </c>
      <c r="O5" s="26" t="s">
        <v>150</v>
      </c>
      <c r="P5" s="26" t="s">
        <v>151</v>
      </c>
      <c r="Q5" s="26" t="s">
        <v>152</v>
      </c>
    </row>
    <row r="6" spans="1:81" hidden="1">
      <c r="A6" s="37"/>
    </row>
    <row r="7" spans="1:81" ht="12" customHeight="1">
      <c r="A7" s="37"/>
      <c r="D7" s="34"/>
      <c r="E7" s="34"/>
      <c r="F7" s="34"/>
      <c r="G7" s="34"/>
      <c r="H7" s="34"/>
      <c r="I7" s="34"/>
      <c r="J7" s="34"/>
      <c r="K7" s="38"/>
      <c r="Q7" s="27"/>
    </row>
    <row r="8" spans="1:81" ht="22.5" customHeight="1">
      <c r="A8" s="37"/>
      <c r="D8" s="171" t="s">
        <v>153</v>
      </c>
      <c r="E8" s="171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81" hidden="1">
      <c r="A9" s="37"/>
      <c r="D9" s="118" t="e">
        <f>IF(org="","Не определено",org)</f>
        <v>#REF!</v>
      </c>
      <c r="E9" s="118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81" ht="12" customHeight="1">
      <c r="D10" s="42"/>
      <c r="E10" s="42"/>
      <c r="F10" s="34"/>
      <c r="G10" s="34"/>
      <c r="H10" s="34"/>
      <c r="I10" s="34"/>
      <c r="K10" s="103" t="s">
        <v>132</v>
      </c>
    </row>
    <row r="11" spans="1:81" ht="15" customHeight="1">
      <c r="C11" s="34"/>
      <c r="D11" s="172" t="s">
        <v>140</v>
      </c>
      <c r="E11" s="177" t="s">
        <v>154</v>
      </c>
      <c r="F11" s="177" t="s">
        <v>133</v>
      </c>
      <c r="G11" s="177" t="s">
        <v>155</v>
      </c>
      <c r="H11" s="177" t="s">
        <v>156</v>
      </c>
      <c r="I11" s="177"/>
      <c r="J11" s="177"/>
      <c r="K11" s="179"/>
      <c r="L11" s="43"/>
    </row>
    <row r="12" spans="1:81" ht="15" customHeight="1">
      <c r="C12" s="34"/>
      <c r="D12" s="173"/>
      <c r="E12" s="178"/>
      <c r="F12" s="178"/>
      <c r="G12" s="178"/>
      <c r="H12" s="100" t="s">
        <v>134</v>
      </c>
      <c r="I12" s="100" t="s">
        <v>135</v>
      </c>
      <c r="J12" s="100" t="s">
        <v>136</v>
      </c>
      <c r="K12" s="101" t="s">
        <v>137</v>
      </c>
      <c r="L12" s="43"/>
    </row>
    <row r="13" spans="1:81" ht="12" customHeight="1">
      <c r="D13" s="25">
        <v>0</v>
      </c>
      <c r="E13" s="25">
        <v>1</v>
      </c>
      <c r="F13" s="25">
        <v>2</v>
      </c>
      <c r="G13" s="25">
        <v>3</v>
      </c>
      <c r="H13" s="25">
        <v>4</v>
      </c>
      <c r="I13" s="25">
        <v>5</v>
      </c>
      <c r="J13" s="25">
        <v>6</v>
      </c>
      <c r="K13" s="25">
        <v>7</v>
      </c>
    </row>
    <row r="14" spans="1:81" s="39" customFormat="1" ht="15" customHeight="1">
      <c r="C14" s="44"/>
      <c r="D14" s="174" t="s">
        <v>200</v>
      </c>
      <c r="E14" s="175"/>
      <c r="F14" s="175"/>
      <c r="G14" s="175"/>
      <c r="H14" s="175"/>
      <c r="I14" s="175"/>
      <c r="J14" s="175"/>
      <c r="K14" s="176"/>
      <c r="L14" s="45"/>
    </row>
    <row r="15" spans="1:81" s="39" customFormat="1" ht="15" customHeight="1">
      <c r="C15" s="44"/>
      <c r="D15" s="106" t="s">
        <v>370</v>
      </c>
      <c r="E15" s="88" t="s">
        <v>498</v>
      </c>
      <c r="F15" s="46">
        <v>10</v>
      </c>
      <c r="G15" s="90">
        <f>SUM(H15:K15)</f>
        <v>8182.380000000001</v>
      </c>
      <c r="H15" s="90">
        <f>H16+H17+H20+H23</f>
        <v>981.11400000000003</v>
      </c>
      <c r="I15" s="90">
        <f>I16+I17+I20+I23</f>
        <v>5573.9790000000003</v>
      </c>
      <c r="J15" s="90">
        <f>J16+J17+J20+J23</f>
        <v>1627.287</v>
      </c>
      <c r="K15" s="90">
        <f>K16+K17+K20+K23</f>
        <v>0</v>
      </c>
      <c r="L15" s="45"/>
      <c r="M15" s="52"/>
      <c r="P15" s="115">
        <v>10</v>
      </c>
    </row>
    <row r="16" spans="1:81" s="39" customFormat="1" ht="15" customHeight="1">
      <c r="C16" s="44"/>
      <c r="D16" s="106" t="s">
        <v>371</v>
      </c>
      <c r="E16" s="66" t="s">
        <v>210</v>
      </c>
      <c r="F16" s="46">
        <v>20</v>
      </c>
      <c r="G16" s="90">
        <f t="shared" ref="G16:G136" si="0">SUM(H16:K16)</f>
        <v>0</v>
      </c>
      <c r="H16" s="91"/>
      <c r="I16" s="91"/>
      <c r="J16" s="91"/>
      <c r="K16" s="91"/>
      <c r="L16" s="45"/>
      <c r="M16" s="52"/>
      <c r="P16" s="115">
        <v>20</v>
      </c>
    </row>
    <row r="17" spans="3:16" s="39" customFormat="1" ht="15" customHeight="1">
      <c r="C17" s="44"/>
      <c r="D17" s="106" t="s">
        <v>372</v>
      </c>
      <c r="E17" s="67" t="s">
        <v>499</v>
      </c>
      <c r="F17" s="46">
        <v>30</v>
      </c>
      <c r="G17" s="90">
        <f t="shared" si="0"/>
        <v>0</v>
      </c>
      <c r="H17" s="90">
        <f>SUM(H18:H19)</f>
        <v>0</v>
      </c>
      <c r="I17" s="90">
        <f>SUM(I18:I19)</f>
        <v>0</v>
      </c>
      <c r="J17" s="90">
        <f>SUM(J18:J19)</f>
        <v>0</v>
      </c>
      <c r="K17" s="90">
        <f>SUM(K18:K19)</f>
        <v>0</v>
      </c>
      <c r="L17" s="45"/>
      <c r="M17" s="52"/>
      <c r="P17" s="115">
        <v>30</v>
      </c>
    </row>
    <row r="18" spans="3:16" s="39" customFormat="1" ht="12.75" hidden="1">
      <c r="C18" s="44"/>
      <c r="D18" s="113" t="s">
        <v>480</v>
      </c>
      <c r="E18" s="112"/>
      <c r="F18" s="84" t="s">
        <v>336</v>
      </c>
      <c r="G18" s="75"/>
      <c r="H18" s="75"/>
      <c r="I18" s="75"/>
      <c r="J18" s="75"/>
      <c r="K18" s="75"/>
      <c r="L18" s="45"/>
      <c r="M18" s="52"/>
      <c r="P18" s="115"/>
    </row>
    <row r="19" spans="3:16" s="39" customFormat="1" ht="15" customHeight="1">
      <c r="C19" s="44"/>
      <c r="D19" s="108"/>
      <c r="E19" s="104" t="s">
        <v>334</v>
      </c>
      <c r="F19" s="73"/>
      <c r="G19" s="73"/>
      <c r="H19" s="73"/>
      <c r="I19" s="73"/>
      <c r="J19" s="73"/>
      <c r="K19" s="74"/>
      <c r="L19" s="45"/>
      <c r="M19" s="52"/>
      <c r="P19" s="116"/>
    </row>
    <row r="20" spans="3:16" s="39" customFormat="1" ht="15" customHeight="1">
      <c r="C20" s="44"/>
      <c r="D20" s="106" t="s">
        <v>373</v>
      </c>
      <c r="E20" s="67" t="s">
        <v>500</v>
      </c>
      <c r="F20" s="68" t="s">
        <v>211</v>
      </c>
      <c r="G20" s="90">
        <f t="shared" si="0"/>
        <v>0</v>
      </c>
      <c r="H20" s="90">
        <f>SUM(H21:H22)</f>
        <v>0</v>
      </c>
      <c r="I20" s="90">
        <f>SUM(I21:I22)</f>
        <v>0</v>
      </c>
      <c r="J20" s="90">
        <f>SUM(J21:J22)</f>
        <v>0</v>
      </c>
      <c r="K20" s="90">
        <f>SUM(K21:K22)</f>
        <v>0</v>
      </c>
      <c r="L20" s="45"/>
      <c r="M20" s="52"/>
      <c r="P20" s="116"/>
    </row>
    <row r="21" spans="3:16" s="39" customFormat="1" ht="12.75" hidden="1">
      <c r="C21" s="44"/>
      <c r="D21" s="113" t="s">
        <v>481</v>
      </c>
      <c r="E21" s="112"/>
      <c r="F21" s="84" t="s">
        <v>211</v>
      </c>
      <c r="G21" s="75"/>
      <c r="H21" s="75"/>
      <c r="I21" s="75"/>
      <c r="J21" s="75"/>
      <c r="K21" s="75"/>
      <c r="L21" s="45"/>
      <c r="M21" s="52"/>
      <c r="P21" s="115"/>
    </row>
    <row r="22" spans="3:16" s="39" customFormat="1" ht="15" customHeight="1">
      <c r="C22" s="44"/>
      <c r="D22" s="108"/>
      <c r="E22" s="104" t="s">
        <v>334</v>
      </c>
      <c r="F22" s="73"/>
      <c r="G22" s="73"/>
      <c r="H22" s="73"/>
      <c r="I22" s="73"/>
      <c r="J22" s="73"/>
      <c r="K22" s="74"/>
      <c r="L22" s="45"/>
      <c r="M22" s="52"/>
      <c r="P22" s="116"/>
    </row>
    <row r="23" spans="3:16" s="39" customFormat="1" ht="15" customHeight="1">
      <c r="C23" s="44"/>
      <c r="D23" s="106" t="s">
        <v>374</v>
      </c>
      <c r="E23" s="67" t="s">
        <v>501</v>
      </c>
      <c r="F23" s="68" t="s">
        <v>212</v>
      </c>
      <c r="G23" s="90">
        <f t="shared" si="0"/>
        <v>8182.380000000001</v>
      </c>
      <c r="H23" s="90">
        <f>SUM(H24:H27)</f>
        <v>981.11400000000003</v>
      </c>
      <c r="I23" s="90">
        <f>SUM(I24:I27)</f>
        <v>5573.9790000000003</v>
      </c>
      <c r="J23" s="90">
        <f>SUM(J24:J27)</f>
        <v>1627.287</v>
      </c>
      <c r="K23" s="90">
        <f>SUM(K24:K27)</f>
        <v>0</v>
      </c>
      <c r="L23" s="45"/>
      <c r="M23" s="52"/>
      <c r="P23" s="115">
        <v>40</v>
      </c>
    </row>
    <row r="24" spans="3:16" s="39" customFormat="1" ht="12.75" hidden="1">
      <c r="C24" s="44"/>
      <c r="D24" s="113" t="s">
        <v>482</v>
      </c>
      <c r="E24" s="112"/>
      <c r="F24" s="84" t="s">
        <v>212</v>
      </c>
      <c r="G24" s="75"/>
      <c r="H24" s="75"/>
      <c r="I24" s="75"/>
      <c r="J24" s="75"/>
      <c r="K24" s="75"/>
      <c r="L24" s="45"/>
      <c r="M24" s="52"/>
      <c r="P24" s="115"/>
    </row>
    <row r="25" spans="3:16" s="39" customFormat="1" ht="15" customHeight="1">
      <c r="C25" s="121" t="s">
        <v>0</v>
      </c>
      <c r="D25" s="114" t="s">
        <v>1874</v>
      </c>
      <c r="E25" s="82" t="s">
        <v>2047</v>
      </c>
      <c r="F25" s="79">
        <v>431</v>
      </c>
      <c r="G25" s="96">
        <f>SUM(H25:K25)</f>
        <v>6997.9600000000009</v>
      </c>
      <c r="H25" s="97">
        <v>981.11400000000003</v>
      </c>
      <c r="I25" s="97">
        <v>5573.9790000000003</v>
      </c>
      <c r="J25" s="97">
        <v>442.86700000000002</v>
      </c>
      <c r="K25" s="98"/>
      <c r="L25" s="45"/>
      <c r="M25" s="85" t="s">
        <v>1842</v>
      </c>
      <c r="N25" s="86" t="s">
        <v>1438</v>
      </c>
      <c r="O25" s="86" t="s">
        <v>1841</v>
      </c>
    </row>
    <row r="26" spans="3:16" s="39" customFormat="1" ht="15" customHeight="1">
      <c r="C26" s="121" t="s">
        <v>0</v>
      </c>
      <c r="D26" s="114" t="s">
        <v>2072</v>
      </c>
      <c r="E26" s="82" t="s">
        <v>1467</v>
      </c>
      <c r="F26" s="79">
        <v>432</v>
      </c>
      <c r="G26" s="96">
        <f>SUM(H26:K26)</f>
        <v>1184.42</v>
      </c>
      <c r="H26" s="97"/>
      <c r="I26" s="97"/>
      <c r="J26" s="97">
        <f>335.818+848.602</f>
        <v>1184.42</v>
      </c>
      <c r="K26" s="98"/>
      <c r="L26" s="45"/>
      <c r="M26" s="85" t="s">
        <v>1468</v>
      </c>
      <c r="N26" s="86" t="s">
        <v>1438</v>
      </c>
      <c r="O26" s="86" t="s">
        <v>1466</v>
      </c>
    </row>
    <row r="27" spans="3:16" s="39" customFormat="1" ht="15" customHeight="1">
      <c r="C27" s="44"/>
      <c r="D27" s="108"/>
      <c r="E27" s="104" t="s">
        <v>334</v>
      </c>
      <c r="F27" s="73"/>
      <c r="G27" s="73"/>
      <c r="H27" s="73"/>
      <c r="I27" s="73"/>
      <c r="J27" s="73"/>
      <c r="K27" s="74"/>
      <c r="L27" s="45"/>
      <c r="M27" s="52"/>
      <c r="P27" s="115"/>
    </row>
    <row r="28" spans="3:16" s="39" customFormat="1" ht="15" customHeight="1">
      <c r="C28" s="44"/>
      <c r="D28" s="106" t="s">
        <v>375</v>
      </c>
      <c r="E28" s="88" t="s">
        <v>157</v>
      </c>
      <c r="F28" s="68" t="s">
        <v>213</v>
      </c>
      <c r="G28" s="90">
        <f t="shared" si="0"/>
        <v>2975.9480000000003</v>
      </c>
      <c r="H28" s="90">
        <f>H30+H31+H32</f>
        <v>0</v>
      </c>
      <c r="I28" s="90">
        <f>I29+I31+I32</f>
        <v>0</v>
      </c>
      <c r="J28" s="90">
        <f>J29+J30+J32</f>
        <v>1892.933</v>
      </c>
      <c r="K28" s="90">
        <f>K29+K30+K31</f>
        <v>1083.0150000000003</v>
      </c>
      <c r="L28" s="45"/>
      <c r="M28" s="52"/>
      <c r="P28" s="115">
        <v>50</v>
      </c>
    </row>
    <row r="29" spans="3:16" s="39" customFormat="1" ht="15" customHeight="1">
      <c r="C29" s="44"/>
      <c r="D29" s="106" t="s">
        <v>376</v>
      </c>
      <c r="E29" s="66" t="s">
        <v>134</v>
      </c>
      <c r="F29" s="68" t="s">
        <v>214</v>
      </c>
      <c r="G29" s="90">
        <f t="shared" si="0"/>
        <v>981.10400000000004</v>
      </c>
      <c r="H29" s="70"/>
      <c r="I29" s="91"/>
      <c r="J29" s="91">
        <f>H45</f>
        <v>981.10400000000004</v>
      </c>
      <c r="K29" s="91"/>
      <c r="L29" s="45"/>
      <c r="M29" s="52"/>
      <c r="P29" s="115">
        <v>60</v>
      </c>
    </row>
    <row r="30" spans="3:16" s="39" customFormat="1" ht="15" customHeight="1">
      <c r="C30" s="44"/>
      <c r="D30" s="106" t="s">
        <v>377</v>
      </c>
      <c r="E30" s="66" t="s">
        <v>135</v>
      </c>
      <c r="F30" s="68" t="s">
        <v>215</v>
      </c>
      <c r="G30" s="90">
        <f t="shared" si="0"/>
        <v>911.82899999999995</v>
      </c>
      <c r="H30" s="91"/>
      <c r="I30" s="70"/>
      <c r="J30" s="91">
        <f>I25-I34-I48</f>
        <v>911.82899999999995</v>
      </c>
      <c r="K30" s="91"/>
      <c r="L30" s="45"/>
      <c r="M30" s="52"/>
      <c r="P30" s="115">
        <v>70</v>
      </c>
    </row>
    <row r="31" spans="3:16" s="39" customFormat="1" ht="15" customHeight="1">
      <c r="C31" s="44"/>
      <c r="D31" s="106" t="s">
        <v>378</v>
      </c>
      <c r="E31" s="66" t="s">
        <v>136</v>
      </c>
      <c r="F31" s="68" t="s">
        <v>216</v>
      </c>
      <c r="G31" s="90">
        <f t="shared" si="0"/>
        <v>1083.0150000000003</v>
      </c>
      <c r="H31" s="91"/>
      <c r="I31" s="91"/>
      <c r="J31" s="70"/>
      <c r="K31" s="91">
        <f>J23+J28+J17-J48-J34</f>
        <v>1083.0150000000003</v>
      </c>
      <c r="L31" s="45"/>
      <c r="M31" s="52"/>
      <c r="P31" s="115">
        <v>80</v>
      </c>
    </row>
    <row r="32" spans="3:16" s="39" customFormat="1" ht="15" customHeight="1">
      <c r="C32" s="44"/>
      <c r="D32" s="106" t="s">
        <v>379</v>
      </c>
      <c r="E32" s="66" t="s">
        <v>158</v>
      </c>
      <c r="F32" s="68" t="s">
        <v>217</v>
      </c>
      <c r="G32" s="90">
        <f t="shared" si="0"/>
        <v>0</v>
      </c>
      <c r="H32" s="91"/>
      <c r="I32" s="91"/>
      <c r="J32" s="91"/>
      <c r="K32" s="70"/>
      <c r="L32" s="45"/>
      <c r="M32" s="52"/>
      <c r="P32" s="115">
        <v>90</v>
      </c>
    </row>
    <row r="33" spans="3:16" s="39" customFormat="1" ht="15" customHeight="1">
      <c r="C33" s="44"/>
      <c r="D33" s="106" t="s">
        <v>380</v>
      </c>
      <c r="E33" s="89" t="s">
        <v>161</v>
      </c>
      <c r="F33" s="68" t="s">
        <v>218</v>
      </c>
      <c r="G33" s="90">
        <f t="shared" si="0"/>
        <v>0</v>
      </c>
      <c r="H33" s="91"/>
      <c r="I33" s="91"/>
      <c r="J33" s="91"/>
      <c r="K33" s="91"/>
      <c r="L33" s="45"/>
      <c r="M33" s="52"/>
      <c r="P33" s="115"/>
    </row>
    <row r="34" spans="3:16" s="39" customFormat="1" ht="15" customHeight="1">
      <c r="C34" s="44"/>
      <c r="D34" s="106" t="s">
        <v>381</v>
      </c>
      <c r="E34" s="88" t="s">
        <v>502</v>
      </c>
      <c r="F34" s="109" t="s">
        <v>219</v>
      </c>
      <c r="G34" s="90">
        <f t="shared" si="0"/>
        <v>8096.3540000000012</v>
      </c>
      <c r="H34" s="90">
        <f>H35+H37+H40+H44</f>
        <v>0</v>
      </c>
      <c r="I34" s="90">
        <f>I35+I37+I40+I44</f>
        <v>4583.4480000000003</v>
      </c>
      <c r="J34" s="90">
        <f>J35+J37+J40+J44</f>
        <v>2429.913</v>
      </c>
      <c r="K34" s="90">
        <f>K35+K37+K40+K44</f>
        <v>1082.9929999999999</v>
      </c>
      <c r="L34" s="45"/>
      <c r="M34" s="52"/>
      <c r="P34" s="115">
        <v>100</v>
      </c>
    </row>
    <row r="35" spans="3:16" s="39" customFormat="1" ht="22.5">
      <c r="C35" s="44"/>
      <c r="D35" s="106" t="s">
        <v>382</v>
      </c>
      <c r="E35" s="67" t="s">
        <v>503</v>
      </c>
      <c r="F35" s="68" t="s">
        <v>220</v>
      </c>
      <c r="G35" s="90">
        <f t="shared" si="0"/>
        <v>0</v>
      </c>
      <c r="H35" s="91"/>
      <c r="I35" s="91"/>
      <c r="J35" s="91"/>
      <c r="K35" s="91"/>
      <c r="L35" s="45"/>
      <c r="M35" s="52"/>
      <c r="P35" s="115"/>
    </row>
    <row r="36" spans="3:16" s="39" customFormat="1" ht="15" customHeight="1">
      <c r="C36" s="44"/>
      <c r="D36" s="106" t="s">
        <v>486</v>
      </c>
      <c r="E36" s="69" t="s">
        <v>476</v>
      </c>
      <c r="F36" s="68" t="s">
        <v>223</v>
      </c>
      <c r="G36" s="90">
        <f t="shared" si="0"/>
        <v>0</v>
      </c>
      <c r="H36" s="91"/>
      <c r="I36" s="91"/>
      <c r="J36" s="91"/>
      <c r="K36" s="91"/>
      <c r="L36" s="45"/>
      <c r="M36" s="52"/>
      <c r="P36" s="115"/>
    </row>
    <row r="37" spans="3:16" s="39" customFormat="1" ht="15" customHeight="1">
      <c r="C37" s="44"/>
      <c r="D37" s="106" t="s">
        <v>383</v>
      </c>
      <c r="E37" s="67" t="s">
        <v>221</v>
      </c>
      <c r="F37" s="68" t="s">
        <v>224</v>
      </c>
      <c r="G37" s="90">
        <f t="shared" si="0"/>
        <v>4207.6980000000003</v>
      </c>
      <c r="H37" s="91">
        <v>0</v>
      </c>
      <c r="I37" s="91">
        <f>4583.448-I42</f>
        <v>694.79200000000037</v>
      </c>
      <c r="J37" s="91">
        <f>1588.255+841.658</f>
        <v>2429.913</v>
      </c>
      <c r="K37" s="91">
        <v>1082.9929999999999</v>
      </c>
      <c r="L37" s="45"/>
      <c r="M37" s="52"/>
      <c r="P37" s="115"/>
    </row>
    <row r="38" spans="3:16" s="39" customFormat="1" ht="15" customHeight="1">
      <c r="C38" s="44"/>
      <c r="D38" s="106" t="s">
        <v>487</v>
      </c>
      <c r="E38" s="69" t="s">
        <v>504</v>
      </c>
      <c r="F38" s="68" t="s">
        <v>225</v>
      </c>
      <c r="G38" s="90">
        <f t="shared" si="0"/>
        <v>0</v>
      </c>
      <c r="H38" s="91"/>
      <c r="I38" s="91"/>
      <c r="J38" s="91"/>
      <c r="K38" s="91"/>
      <c r="L38" s="45"/>
      <c r="M38" s="52"/>
      <c r="P38" s="115"/>
    </row>
    <row r="39" spans="3:16" s="39" customFormat="1" ht="15" customHeight="1">
      <c r="C39" s="44"/>
      <c r="D39" s="106" t="s">
        <v>488</v>
      </c>
      <c r="E39" s="71" t="s">
        <v>476</v>
      </c>
      <c r="F39" s="68" t="s">
        <v>226</v>
      </c>
      <c r="G39" s="90">
        <f t="shared" si="0"/>
        <v>0</v>
      </c>
      <c r="H39" s="91"/>
      <c r="I39" s="91"/>
      <c r="J39" s="91"/>
      <c r="K39" s="91"/>
      <c r="L39" s="45"/>
      <c r="M39" s="52"/>
      <c r="P39" s="115"/>
    </row>
    <row r="40" spans="3:16" s="39" customFormat="1" ht="15" customHeight="1">
      <c r="C40" s="44"/>
      <c r="D40" s="106" t="s">
        <v>384</v>
      </c>
      <c r="E40" s="67" t="s">
        <v>505</v>
      </c>
      <c r="F40" s="68" t="s">
        <v>227</v>
      </c>
      <c r="G40" s="90">
        <f t="shared" si="0"/>
        <v>3888.6559999999999</v>
      </c>
      <c r="H40" s="90">
        <f>SUM(H41:H43)</f>
        <v>0</v>
      </c>
      <c r="I40" s="90">
        <f>SUM(I41:I43)</f>
        <v>3888.6559999999999</v>
      </c>
      <c r="J40" s="90">
        <f>SUM(J41:J43)</f>
        <v>0</v>
      </c>
      <c r="K40" s="90">
        <f>SUM(K41:K43)</f>
        <v>0</v>
      </c>
      <c r="L40" s="45"/>
      <c r="M40" s="52"/>
      <c r="P40" s="115"/>
    </row>
    <row r="41" spans="3:16" s="39" customFormat="1" ht="12.75" hidden="1">
      <c r="C41" s="44"/>
      <c r="D41" s="113" t="s">
        <v>496</v>
      </c>
      <c r="E41" s="112"/>
      <c r="F41" s="84" t="s">
        <v>227</v>
      </c>
      <c r="G41" s="75"/>
      <c r="H41" s="75"/>
      <c r="I41" s="75"/>
      <c r="J41" s="75"/>
      <c r="K41" s="75"/>
      <c r="L41" s="45"/>
      <c r="M41" s="52"/>
      <c r="P41" s="115"/>
    </row>
    <row r="42" spans="3:16" s="39" customFormat="1" ht="15" customHeight="1">
      <c r="C42" s="121" t="s">
        <v>0</v>
      </c>
      <c r="D42" s="114" t="s">
        <v>1875</v>
      </c>
      <c r="E42" s="82" t="s">
        <v>1467</v>
      </c>
      <c r="F42" s="79">
        <v>751</v>
      </c>
      <c r="G42" s="96">
        <f>SUM(H42:K42)</f>
        <v>3888.6559999999999</v>
      </c>
      <c r="H42" s="97"/>
      <c r="I42" s="97">
        <v>3888.6559999999999</v>
      </c>
      <c r="J42" s="97"/>
      <c r="K42" s="98"/>
      <c r="L42" s="45"/>
      <c r="M42" s="85" t="s">
        <v>1468</v>
      </c>
      <c r="N42" s="86" t="s">
        <v>1451</v>
      </c>
      <c r="O42" s="86" t="s">
        <v>1466</v>
      </c>
    </row>
    <row r="43" spans="3:16" s="39" customFormat="1" ht="15" customHeight="1">
      <c r="C43" s="44"/>
      <c r="D43" s="76"/>
      <c r="E43" s="104" t="s">
        <v>334</v>
      </c>
      <c r="F43" s="73"/>
      <c r="G43" s="73"/>
      <c r="H43" s="73"/>
      <c r="I43" s="73"/>
      <c r="J43" s="73"/>
      <c r="K43" s="74"/>
      <c r="L43" s="45"/>
      <c r="M43" s="52"/>
      <c r="P43" s="115"/>
    </row>
    <row r="44" spans="3:16" s="39" customFormat="1" ht="15" customHeight="1">
      <c r="C44" s="44"/>
      <c r="D44" s="106" t="s">
        <v>385</v>
      </c>
      <c r="E44" s="105" t="s">
        <v>477</v>
      </c>
      <c r="F44" s="68" t="s">
        <v>228</v>
      </c>
      <c r="G44" s="90">
        <f t="shared" si="0"/>
        <v>0</v>
      </c>
      <c r="H44" s="91"/>
      <c r="I44" s="91"/>
      <c r="J44" s="91"/>
      <c r="K44" s="91"/>
      <c r="L44" s="45"/>
      <c r="M44" s="52"/>
      <c r="P44" s="115">
        <v>120</v>
      </c>
    </row>
    <row r="45" spans="3:16" s="39" customFormat="1" ht="15" customHeight="1">
      <c r="C45" s="44"/>
      <c r="D45" s="106" t="s">
        <v>386</v>
      </c>
      <c r="E45" s="88" t="s">
        <v>159</v>
      </c>
      <c r="F45" s="68" t="s">
        <v>229</v>
      </c>
      <c r="G45" s="90">
        <f t="shared" si="0"/>
        <v>2975.9480000000008</v>
      </c>
      <c r="H45" s="91">
        <f>H25-H48-H34</f>
        <v>981.10400000000004</v>
      </c>
      <c r="I45" s="91">
        <f>I15-I34-I48</f>
        <v>911.82899999999995</v>
      </c>
      <c r="J45" s="91">
        <f>J23+J28+J17-J34-J48</f>
        <v>1083.0150000000003</v>
      </c>
      <c r="K45" s="91">
        <f>K31-K34-K48</f>
        <v>3.892650091152916E-13</v>
      </c>
      <c r="L45" s="45"/>
      <c r="M45" s="52"/>
      <c r="P45" s="115">
        <v>150</v>
      </c>
    </row>
    <row r="46" spans="3:16" s="39" customFormat="1" ht="15" customHeight="1">
      <c r="C46" s="44"/>
      <c r="D46" s="106" t="s">
        <v>387</v>
      </c>
      <c r="E46" s="88" t="s">
        <v>160</v>
      </c>
      <c r="F46" s="68" t="s">
        <v>230</v>
      </c>
      <c r="G46" s="90">
        <f t="shared" si="0"/>
        <v>0</v>
      </c>
      <c r="H46" s="91"/>
      <c r="I46" s="91"/>
      <c r="J46" s="91"/>
      <c r="K46" s="91"/>
      <c r="L46" s="45"/>
      <c r="M46" s="52"/>
      <c r="P46" s="115">
        <v>160</v>
      </c>
    </row>
    <row r="47" spans="3:16" s="39" customFormat="1" ht="15" customHeight="1">
      <c r="C47" s="44"/>
      <c r="D47" s="106" t="s">
        <v>388</v>
      </c>
      <c r="E47" s="88" t="s">
        <v>162</v>
      </c>
      <c r="F47" s="68" t="s">
        <v>231</v>
      </c>
      <c r="G47" s="90">
        <f t="shared" si="0"/>
        <v>0</v>
      </c>
      <c r="H47" s="91"/>
      <c r="I47" s="91"/>
      <c r="J47" s="91"/>
      <c r="K47" s="91"/>
      <c r="L47" s="45"/>
      <c r="M47" s="52"/>
      <c r="P47" s="115">
        <v>180</v>
      </c>
    </row>
    <row r="48" spans="3:16" s="39" customFormat="1" ht="15" customHeight="1">
      <c r="C48" s="44"/>
      <c r="D48" s="106" t="s">
        <v>389</v>
      </c>
      <c r="E48" s="88" t="s">
        <v>473</v>
      </c>
      <c r="F48" s="68" t="s">
        <v>232</v>
      </c>
      <c r="G48" s="90">
        <f t="shared" si="0"/>
        <v>86.02600000000001</v>
      </c>
      <c r="H48" s="91">
        <v>0.01</v>
      </c>
      <c r="I48" s="91">
        <v>78.701999999999998</v>
      </c>
      <c r="J48" s="91">
        <f>0.348+6.944</f>
        <v>7.2919999999999998</v>
      </c>
      <c r="K48" s="91">
        <v>2.1999999999999999E-2</v>
      </c>
      <c r="L48" s="45"/>
      <c r="M48" s="52"/>
      <c r="P48" s="115">
        <v>190</v>
      </c>
    </row>
    <row r="49" spans="3:16" s="39" customFormat="1" ht="15" customHeight="1">
      <c r="C49" s="44"/>
      <c r="D49" s="106" t="s">
        <v>390</v>
      </c>
      <c r="E49" s="67" t="s">
        <v>474</v>
      </c>
      <c r="F49" s="68" t="s">
        <v>234</v>
      </c>
      <c r="G49" s="90">
        <f t="shared" si="0"/>
        <v>0</v>
      </c>
      <c r="H49" s="91"/>
      <c r="I49" s="91"/>
      <c r="J49" s="91"/>
      <c r="K49" s="91"/>
      <c r="L49" s="45"/>
      <c r="M49" s="52"/>
      <c r="P49" s="115">
        <v>200</v>
      </c>
    </row>
    <row r="50" spans="3:16" s="39" customFormat="1" ht="15" customHeight="1">
      <c r="C50" s="44"/>
      <c r="D50" s="106" t="s">
        <v>475</v>
      </c>
      <c r="E50" s="88" t="s">
        <v>417</v>
      </c>
      <c r="F50" s="68" t="s">
        <v>235</v>
      </c>
      <c r="G50" s="90">
        <f t="shared" si="0"/>
        <v>132.00299999999999</v>
      </c>
      <c r="H50" s="91"/>
      <c r="I50" s="91">
        <f>132.003*0.25776</f>
        <v>34.025093279999993</v>
      </c>
      <c r="J50" s="91">
        <f>132.003*0.37244</f>
        <v>49.163197319999995</v>
      </c>
      <c r="K50" s="91">
        <f>132.003*0.3698</f>
        <v>48.814709399999998</v>
      </c>
      <c r="L50" s="45"/>
      <c r="M50" s="52"/>
      <c r="P50" s="116"/>
    </row>
    <row r="51" spans="3:16" s="39" customFormat="1" ht="33.75">
      <c r="C51" s="44"/>
      <c r="D51" s="106" t="s">
        <v>391</v>
      </c>
      <c r="E51" s="89" t="s">
        <v>236</v>
      </c>
      <c r="F51" s="68" t="s">
        <v>237</v>
      </c>
      <c r="G51" s="90">
        <f t="shared" si="0"/>
        <v>-45.97699999999999</v>
      </c>
      <c r="H51" s="90">
        <f>H48-H50</f>
        <v>0.01</v>
      </c>
      <c r="I51" s="90">
        <f>I48-I50</f>
        <v>44.676906720000005</v>
      </c>
      <c r="J51" s="90">
        <f>J48-J50</f>
        <v>-41.871197319999993</v>
      </c>
      <c r="K51" s="90">
        <f>K48-K50</f>
        <v>-48.7927094</v>
      </c>
      <c r="L51" s="45"/>
      <c r="M51" s="52"/>
      <c r="P51" s="116"/>
    </row>
    <row r="52" spans="3:16" s="39" customFormat="1" ht="15" customHeight="1">
      <c r="C52" s="44"/>
      <c r="D52" s="106" t="s">
        <v>392</v>
      </c>
      <c r="E52" s="87" t="s">
        <v>163</v>
      </c>
      <c r="F52" s="68" t="s">
        <v>238</v>
      </c>
      <c r="G52" s="90">
        <f t="shared" si="0"/>
        <v>0</v>
      </c>
      <c r="H52" s="90">
        <f>(H15+H28+H33)-(H34+H45+H46+H47+H48)</f>
        <v>0</v>
      </c>
      <c r="I52" s="90">
        <f>(I15+I28+I33)-(I34+I45+I46+I47+I48)</f>
        <v>0</v>
      </c>
      <c r="J52" s="90">
        <f>(J15+J28+J33)-(J34+J45+J46+J47+J48)</f>
        <v>0</v>
      </c>
      <c r="K52" s="90">
        <f>(K15+K28+K33)-(K34+K45+K46+K47+K48)</f>
        <v>0</v>
      </c>
      <c r="L52" s="45"/>
      <c r="M52" s="52"/>
      <c r="P52" s="115">
        <v>210</v>
      </c>
    </row>
    <row r="53" spans="3:16" s="39" customFormat="1" ht="15" customHeight="1">
      <c r="C53" s="44"/>
      <c r="D53" s="174" t="s">
        <v>201</v>
      </c>
      <c r="E53" s="175"/>
      <c r="F53" s="175"/>
      <c r="G53" s="175"/>
      <c r="H53" s="175"/>
      <c r="I53" s="175"/>
      <c r="J53" s="175"/>
      <c r="K53" s="176"/>
      <c r="L53" s="45"/>
      <c r="M53" s="52"/>
      <c r="P53" s="116"/>
    </row>
    <row r="54" spans="3:16" s="39" customFormat="1" ht="15" customHeight="1">
      <c r="C54" s="44"/>
      <c r="D54" s="106" t="s">
        <v>393</v>
      </c>
      <c r="E54" s="88" t="s">
        <v>498</v>
      </c>
      <c r="F54" s="68" t="s">
        <v>239</v>
      </c>
      <c r="G54" s="90">
        <f t="shared" si="0"/>
        <v>10.997822580645161</v>
      </c>
      <c r="H54" s="90">
        <f>H55+H56+H59+H62</f>
        <v>1.3187016129032259</v>
      </c>
      <c r="I54" s="90">
        <f>I55+I56+I59+I62</f>
        <v>7.4919072580645167</v>
      </c>
      <c r="J54" s="90">
        <f>J55+J56+J59+J62</f>
        <v>2.1872137096774193</v>
      </c>
      <c r="K54" s="90">
        <f>K55+K56+K59+K62</f>
        <v>0</v>
      </c>
      <c r="L54" s="45"/>
      <c r="M54" s="52"/>
      <c r="P54" s="115">
        <v>300</v>
      </c>
    </row>
    <row r="55" spans="3:16" s="39" customFormat="1" ht="15" customHeight="1">
      <c r="C55" s="44"/>
      <c r="D55" s="106" t="s">
        <v>394</v>
      </c>
      <c r="E55" s="67" t="s">
        <v>210</v>
      </c>
      <c r="F55" s="68" t="s">
        <v>240</v>
      </c>
      <c r="G55" s="90">
        <f t="shared" si="0"/>
        <v>0</v>
      </c>
      <c r="H55" s="91"/>
      <c r="I55" s="91"/>
      <c r="J55" s="91"/>
      <c r="K55" s="91"/>
      <c r="L55" s="45"/>
      <c r="M55" s="52"/>
      <c r="P55" s="115">
        <v>310</v>
      </c>
    </row>
    <row r="56" spans="3:16" s="39" customFormat="1" ht="15" customHeight="1">
      <c r="C56" s="44"/>
      <c r="D56" s="106" t="s">
        <v>395</v>
      </c>
      <c r="E56" s="67" t="s">
        <v>499</v>
      </c>
      <c r="F56" s="68" t="s">
        <v>241</v>
      </c>
      <c r="G56" s="90">
        <f t="shared" si="0"/>
        <v>0</v>
      </c>
      <c r="H56" s="90">
        <f>SUM(H57:H58)</f>
        <v>0</v>
      </c>
      <c r="I56" s="90">
        <f>SUM(I57:I58)</f>
        <v>0</v>
      </c>
      <c r="J56" s="90">
        <f>SUM(J57:J58)</f>
        <v>0</v>
      </c>
      <c r="K56" s="90">
        <f>SUM(K57:K58)</f>
        <v>0</v>
      </c>
      <c r="L56" s="45"/>
      <c r="M56" s="52"/>
      <c r="P56" s="115">
        <v>320</v>
      </c>
    </row>
    <row r="57" spans="3:16" s="39" customFormat="1" ht="12.75" hidden="1">
      <c r="C57" s="44"/>
      <c r="D57" s="113" t="s">
        <v>483</v>
      </c>
      <c r="E57" s="112"/>
      <c r="F57" s="84" t="s">
        <v>241</v>
      </c>
      <c r="G57" s="75"/>
      <c r="H57" s="75"/>
      <c r="I57" s="75"/>
      <c r="J57" s="75"/>
      <c r="K57" s="75"/>
      <c r="L57" s="45"/>
      <c r="M57" s="52"/>
      <c r="P57" s="115"/>
    </row>
    <row r="58" spans="3:16" s="39" customFormat="1" ht="15" customHeight="1">
      <c r="C58" s="44"/>
      <c r="D58" s="108"/>
      <c r="E58" s="104" t="s">
        <v>334</v>
      </c>
      <c r="F58" s="73"/>
      <c r="G58" s="73"/>
      <c r="H58" s="73"/>
      <c r="I58" s="73"/>
      <c r="J58" s="73"/>
      <c r="K58" s="74"/>
      <c r="L58" s="45"/>
      <c r="M58" s="52"/>
      <c r="P58" s="115"/>
    </row>
    <row r="59" spans="3:16" s="39" customFormat="1" ht="15" customHeight="1">
      <c r="C59" s="44"/>
      <c r="D59" s="106" t="s">
        <v>396</v>
      </c>
      <c r="E59" s="67" t="s">
        <v>500</v>
      </c>
      <c r="F59" s="68" t="s">
        <v>242</v>
      </c>
      <c r="G59" s="90">
        <f t="shared" si="0"/>
        <v>0</v>
      </c>
      <c r="H59" s="90">
        <f>SUM(H60:H61)</f>
        <v>0</v>
      </c>
      <c r="I59" s="90">
        <f>SUM(I60:I61)</f>
        <v>0</v>
      </c>
      <c r="J59" s="90">
        <f>SUM(J60:J61)</f>
        <v>0</v>
      </c>
      <c r="K59" s="90">
        <f>SUM(K60:K61)</f>
        <v>0</v>
      </c>
      <c r="L59" s="45"/>
      <c r="M59" s="52"/>
      <c r="P59" s="115"/>
    </row>
    <row r="60" spans="3:16" s="39" customFormat="1" ht="12.75" hidden="1" customHeight="1">
      <c r="C60" s="44"/>
      <c r="D60" s="113" t="s">
        <v>484</v>
      </c>
      <c r="E60" s="112"/>
      <c r="F60" s="84" t="s">
        <v>242</v>
      </c>
      <c r="G60" s="75"/>
      <c r="H60" s="75"/>
      <c r="I60" s="75"/>
      <c r="J60" s="75"/>
      <c r="K60" s="75"/>
      <c r="L60" s="45"/>
      <c r="M60" s="52"/>
      <c r="P60" s="115"/>
    </row>
    <row r="61" spans="3:16" s="39" customFormat="1" ht="15" customHeight="1">
      <c r="C61" s="44"/>
      <c r="D61" s="108"/>
      <c r="E61" s="104" t="s">
        <v>334</v>
      </c>
      <c r="F61" s="73"/>
      <c r="G61" s="73"/>
      <c r="H61" s="73"/>
      <c r="I61" s="73"/>
      <c r="J61" s="73"/>
      <c r="K61" s="74"/>
      <c r="L61" s="45"/>
      <c r="M61" s="52"/>
      <c r="P61" s="115"/>
    </row>
    <row r="62" spans="3:16" s="39" customFormat="1" ht="15" customHeight="1">
      <c r="C62" s="44"/>
      <c r="D62" s="106" t="s">
        <v>397</v>
      </c>
      <c r="E62" s="67" t="s">
        <v>501</v>
      </c>
      <c r="F62" s="68" t="s">
        <v>243</v>
      </c>
      <c r="G62" s="90">
        <f t="shared" si="0"/>
        <v>10.997822580645161</v>
      </c>
      <c r="H62" s="90">
        <f>SUM(H63:H66)</f>
        <v>1.3187016129032259</v>
      </c>
      <c r="I62" s="90">
        <f>SUM(I63:I66)</f>
        <v>7.4919072580645167</v>
      </c>
      <c r="J62" s="90">
        <f>SUM(J63:J66)</f>
        <v>2.1872137096774193</v>
      </c>
      <c r="K62" s="90">
        <f>SUM(K63:K66)</f>
        <v>0</v>
      </c>
      <c r="L62" s="45"/>
      <c r="M62" s="52"/>
      <c r="P62" s="115">
        <v>330</v>
      </c>
    </row>
    <row r="63" spans="3:16" s="39" customFormat="1" ht="12.75" hidden="1" customHeight="1">
      <c r="C63" s="44"/>
      <c r="D63" s="113" t="s">
        <v>485</v>
      </c>
      <c r="E63" s="112"/>
      <c r="F63" s="84" t="s">
        <v>243</v>
      </c>
      <c r="G63" s="75"/>
      <c r="H63" s="75"/>
      <c r="I63" s="75"/>
      <c r="J63" s="75"/>
      <c r="K63" s="75"/>
      <c r="L63" s="45"/>
      <c r="M63" s="52"/>
      <c r="P63" s="115"/>
    </row>
    <row r="64" spans="3:16" s="39" customFormat="1" ht="15" customHeight="1">
      <c r="C64" s="121" t="s">
        <v>0</v>
      </c>
      <c r="D64" s="114" t="s">
        <v>1876</v>
      </c>
      <c r="E64" s="82" t="s">
        <v>2047</v>
      </c>
      <c r="F64" s="79">
        <v>1461</v>
      </c>
      <c r="G64" s="96">
        <f>SUM(H64:K64)</f>
        <v>9.4058602150537638</v>
      </c>
      <c r="H64" s="97">
        <f>H25/744</f>
        <v>1.3187016129032259</v>
      </c>
      <c r="I64" s="97">
        <f>I25/744</f>
        <v>7.4919072580645167</v>
      </c>
      <c r="J64" s="97">
        <f>J25/744</f>
        <v>0.59525134408602154</v>
      </c>
      <c r="K64" s="97"/>
      <c r="L64" s="45"/>
      <c r="M64" s="85" t="s">
        <v>1842</v>
      </c>
      <c r="N64" s="86" t="s">
        <v>1438</v>
      </c>
      <c r="O64" s="86" t="s">
        <v>1841</v>
      </c>
    </row>
    <row r="65" spans="3:16" s="39" customFormat="1" ht="15" customHeight="1">
      <c r="C65" s="121" t="s">
        <v>0</v>
      </c>
      <c r="D65" s="114" t="s">
        <v>2073</v>
      </c>
      <c r="E65" s="82" t="s">
        <v>1467</v>
      </c>
      <c r="F65" s="79">
        <v>1462</v>
      </c>
      <c r="G65" s="96">
        <f>SUM(H65:K65)</f>
        <v>1.5919623655913979</v>
      </c>
      <c r="H65" s="97"/>
      <c r="I65" s="97"/>
      <c r="J65" s="97">
        <f>J26/744</f>
        <v>1.5919623655913979</v>
      </c>
      <c r="K65" s="98"/>
      <c r="L65" s="45"/>
      <c r="M65" s="85" t="s">
        <v>1468</v>
      </c>
      <c r="N65" s="86" t="s">
        <v>1438</v>
      </c>
      <c r="O65" s="86" t="s">
        <v>1466</v>
      </c>
    </row>
    <row r="66" spans="3:16" s="39" customFormat="1" ht="15" customHeight="1">
      <c r="C66" s="44"/>
      <c r="D66" s="108"/>
      <c r="E66" s="104" t="s">
        <v>334</v>
      </c>
      <c r="F66" s="73"/>
      <c r="G66" s="73"/>
      <c r="H66" s="73"/>
      <c r="I66" s="73"/>
      <c r="J66" s="73"/>
      <c r="K66" s="74"/>
      <c r="L66" s="45"/>
      <c r="M66" s="52"/>
      <c r="P66" s="115"/>
    </row>
    <row r="67" spans="3:16" s="39" customFormat="1" ht="15" customHeight="1">
      <c r="C67" s="44"/>
      <c r="D67" s="106" t="s">
        <v>398</v>
      </c>
      <c r="E67" s="88" t="s">
        <v>157</v>
      </c>
      <c r="F67" s="68" t="s">
        <v>244</v>
      </c>
      <c r="G67" s="90">
        <f t="shared" si="0"/>
        <v>3.9999301075268821</v>
      </c>
      <c r="H67" s="90">
        <f>H69+H70+H71</f>
        <v>0</v>
      </c>
      <c r="I67" s="90">
        <f>I68+I70+I71</f>
        <v>0</v>
      </c>
      <c r="J67" s="90">
        <f>J68+J69+J71</f>
        <v>2.5442647849462365</v>
      </c>
      <c r="K67" s="90">
        <f>K68+K69+K70</f>
        <v>1.4556653225806455</v>
      </c>
      <c r="L67" s="45"/>
      <c r="M67" s="52"/>
      <c r="P67" s="115">
        <v>340</v>
      </c>
    </row>
    <row r="68" spans="3:16" s="39" customFormat="1" ht="15" customHeight="1">
      <c r="C68" s="44"/>
      <c r="D68" s="106" t="s">
        <v>399</v>
      </c>
      <c r="E68" s="66" t="s">
        <v>134</v>
      </c>
      <c r="F68" s="68" t="s">
        <v>245</v>
      </c>
      <c r="G68" s="90">
        <f t="shared" si="0"/>
        <v>1.3186881720430108</v>
      </c>
      <c r="H68" s="70"/>
      <c r="I68" s="91"/>
      <c r="J68" s="91">
        <f>J29/744</f>
        <v>1.3186881720430108</v>
      </c>
      <c r="K68" s="91"/>
      <c r="L68" s="45"/>
      <c r="M68" s="52"/>
      <c r="P68" s="115">
        <v>350</v>
      </c>
    </row>
    <row r="69" spans="3:16" s="39" customFormat="1" ht="15" customHeight="1">
      <c r="C69" s="44"/>
      <c r="D69" s="106" t="s">
        <v>400</v>
      </c>
      <c r="E69" s="66" t="s">
        <v>135</v>
      </c>
      <c r="F69" s="68" t="s">
        <v>246</v>
      </c>
      <c r="G69" s="90">
        <f t="shared" si="0"/>
        <v>1.2255766129032257</v>
      </c>
      <c r="H69" s="91"/>
      <c r="I69" s="92"/>
      <c r="J69" s="91">
        <f>J30/744</f>
        <v>1.2255766129032257</v>
      </c>
      <c r="K69" s="91"/>
      <c r="L69" s="45"/>
      <c r="M69" s="52"/>
      <c r="P69" s="115">
        <v>360</v>
      </c>
    </row>
    <row r="70" spans="3:16" s="39" customFormat="1" ht="15" customHeight="1">
      <c r="C70" s="44"/>
      <c r="D70" s="106" t="s">
        <v>401</v>
      </c>
      <c r="E70" s="66" t="s">
        <v>136</v>
      </c>
      <c r="F70" s="68" t="s">
        <v>247</v>
      </c>
      <c r="G70" s="90">
        <f t="shared" si="0"/>
        <v>1.4556653225806455</v>
      </c>
      <c r="H70" s="91"/>
      <c r="I70" s="91"/>
      <c r="J70" s="70"/>
      <c r="K70" s="91">
        <f>K31/744</f>
        <v>1.4556653225806455</v>
      </c>
      <c r="L70" s="45"/>
      <c r="M70" s="52"/>
      <c r="P70" s="115">
        <v>370</v>
      </c>
    </row>
    <row r="71" spans="3:16" s="39" customFormat="1" ht="15" customHeight="1">
      <c r="C71" s="44"/>
      <c r="D71" s="106" t="s">
        <v>402</v>
      </c>
      <c r="E71" s="66" t="s">
        <v>158</v>
      </c>
      <c r="F71" s="68" t="s">
        <v>248</v>
      </c>
      <c r="G71" s="90">
        <f t="shared" si="0"/>
        <v>0</v>
      </c>
      <c r="H71" s="91"/>
      <c r="I71" s="91"/>
      <c r="J71" s="91"/>
      <c r="K71" s="70"/>
      <c r="L71" s="45"/>
      <c r="M71" s="52"/>
      <c r="P71" s="115">
        <v>380</v>
      </c>
    </row>
    <row r="72" spans="3:16" s="39" customFormat="1" ht="15" customHeight="1">
      <c r="C72" s="44"/>
      <c r="D72" s="106" t="s">
        <v>403</v>
      </c>
      <c r="E72" s="89" t="s">
        <v>161</v>
      </c>
      <c r="F72" s="68" t="s">
        <v>249</v>
      </c>
      <c r="G72" s="90">
        <f t="shared" si="0"/>
        <v>0</v>
      </c>
      <c r="H72" s="91"/>
      <c r="I72" s="91"/>
      <c r="J72" s="91"/>
      <c r="K72" s="91"/>
      <c r="L72" s="45"/>
      <c r="M72" s="52"/>
      <c r="P72" s="115"/>
    </row>
    <row r="73" spans="3:16" s="39" customFormat="1" ht="15" customHeight="1">
      <c r="C73" s="44"/>
      <c r="D73" s="106" t="s">
        <v>404</v>
      </c>
      <c r="E73" s="88" t="s">
        <v>502</v>
      </c>
      <c r="F73" s="109" t="s">
        <v>250</v>
      </c>
      <c r="G73" s="90">
        <f t="shared" si="0"/>
        <v>10.882196236559141</v>
      </c>
      <c r="H73" s="90">
        <f>H74+H76+H79+H83</f>
        <v>0</v>
      </c>
      <c r="I73" s="90">
        <f>I74+I76+I79+I83</f>
        <v>6.1605483870967745</v>
      </c>
      <c r="J73" s="90">
        <f>J74+J76+J79+J83</f>
        <v>3.2660120967741935</v>
      </c>
      <c r="K73" s="90">
        <f>K74+K76+K79+K83</f>
        <v>1.455635752688172</v>
      </c>
      <c r="L73" s="45"/>
      <c r="M73" s="52"/>
      <c r="P73" s="115">
        <v>390</v>
      </c>
    </row>
    <row r="74" spans="3:16" s="39" customFormat="1" ht="22.5">
      <c r="C74" s="44"/>
      <c r="D74" s="106" t="s">
        <v>405</v>
      </c>
      <c r="E74" s="67" t="s">
        <v>503</v>
      </c>
      <c r="F74" s="68" t="s">
        <v>251</v>
      </c>
      <c r="G74" s="90">
        <f t="shared" si="0"/>
        <v>0</v>
      </c>
      <c r="H74" s="91"/>
      <c r="I74" s="91"/>
      <c r="J74" s="91"/>
      <c r="K74" s="91"/>
      <c r="L74" s="45"/>
      <c r="M74" s="52"/>
      <c r="P74" s="115"/>
    </row>
    <row r="75" spans="3:16" s="39" customFormat="1" ht="15" customHeight="1">
      <c r="C75" s="44"/>
      <c r="D75" s="106" t="s">
        <v>489</v>
      </c>
      <c r="E75" s="69" t="s">
        <v>476</v>
      </c>
      <c r="F75" s="68" t="s">
        <v>252</v>
      </c>
      <c r="G75" s="90">
        <f t="shared" si="0"/>
        <v>0</v>
      </c>
      <c r="H75" s="91"/>
      <c r="I75" s="91"/>
      <c r="J75" s="91"/>
      <c r="K75" s="91"/>
      <c r="L75" s="45"/>
      <c r="M75" s="52"/>
      <c r="P75" s="115"/>
    </row>
    <row r="76" spans="3:16" s="39" customFormat="1" ht="15" customHeight="1">
      <c r="C76" s="44"/>
      <c r="D76" s="106" t="s">
        <v>406</v>
      </c>
      <c r="E76" s="67" t="s">
        <v>221</v>
      </c>
      <c r="F76" s="68" t="s">
        <v>253</v>
      </c>
      <c r="G76" s="90">
        <f t="shared" si="0"/>
        <v>5.6555080645161295</v>
      </c>
      <c r="H76" s="91">
        <f>H37/744</f>
        <v>0</v>
      </c>
      <c r="I76" s="91">
        <f>I37/744</f>
        <v>0.93386021505376393</v>
      </c>
      <c r="J76" s="91">
        <f>J37/744</f>
        <v>3.2660120967741935</v>
      </c>
      <c r="K76" s="91">
        <f>K37/744</f>
        <v>1.455635752688172</v>
      </c>
      <c r="L76" s="45"/>
      <c r="M76" s="52"/>
      <c r="P76" s="115"/>
    </row>
    <row r="77" spans="3:16" s="39" customFormat="1" ht="15" customHeight="1">
      <c r="C77" s="44"/>
      <c r="D77" s="106" t="s">
        <v>490</v>
      </c>
      <c r="E77" s="69" t="s">
        <v>504</v>
      </c>
      <c r="F77" s="68" t="s">
        <v>254</v>
      </c>
      <c r="G77" s="90">
        <f t="shared" si="0"/>
        <v>0</v>
      </c>
      <c r="H77" s="91"/>
      <c r="I77" s="91"/>
      <c r="J77" s="91"/>
      <c r="K77" s="91"/>
      <c r="L77" s="45"/>
      <c r="M77" s="52"/>
      <c r="P77" s="115"/>
    </row>
    <row r="78" spans="3:16" s="39" customFormat="1" ht="15" customHeight="1">
      <c r="C78" s="44"/>
      <c r="D78" s="106" t="s">
        <v>491</v>
      </c>
      <c r="E78" s="71" t="s">
        <v>476</v>
      </c>
      <c r="F78" s="68" t="s">
        <v>255</v>
      </c>
      <c r="G78" s="90">
        <f t="shared" si="0"/>
        <v>0</v>
      </c>
      <c r="H78" s="91"/>
      <c r="I78" s="91"/>
      <c r="J78" s="91"/>
      <c r="K78" s="91"/>
      <c r="L78" s="45"/>
      <c r="M78" s="52"/>
      <c r="P78" s="115"/>
    </row>
    <row r="79" spans="3:16" s="39" customFormat="1" ht="15" customHeight="1">
      <c r="C79" s="44"/>
      <c r="D79" s="106" t="s">
        <v>407</v>
      </c>
      <c r="E79" s="67" t="s">
        <v>505</v>
      </c>
      <c r="F79" s="68" t="s">
        <v>256</v>
      </c>
      <c r="G79" s="90">
        <f t="shared" si="0"/>
        <v>5.2266881720430103</v>
      </c>
      <c r="H79" s="90">
        <f>SUM(H80:H82)</f>
        <v>0</v>
      </c>
      <c r="I79" s="90">
        <f>SUM(I80:I82)</f>
        <v>5.2266881720430103</v>
      </c>
      <c r="J79" s="90">
        <f>SUM(J80:J82)</f>
        <v>0</v>
      </c>
      <c r="K79" s="90">
        <f>SUM(K80:K82)</f>
        <v>0</v>
      </c>
      <c r="L79" s="45"/>
      <c r="M79" s="52"/>
      <c r="P79" s="115"/>
    </row>
    <row r="80" spans="3:16" s="39" customFormat="1" ht="12.75" hidden="1" customHeight="1">
      <c r="C80" s="44"/>
      <c r="D80" s="113" t="s">
        <v>497</v>
      </c>
      <c r="E80" s="112"/>
      <c r="F80" s="84" t="s">
        <v>256</v>
      </c>
      <c r="G80" s="75"/>
      <c r="H80" s="75"/>
      <c r="I80" s="75"/>
      <c r="J80" s="75"/>
      <c r="K80" s="75"/>
      <c r="L80" s="45"/>
      <c r="M80" s="52"/>
      <c r="P80" s="115"/>
    </row>
    <row r="81" spans="3:16" s="39" customFormat="1" ht="15" customHeight="1">
      <c r="C81" s="121" t="s">
        <v>0</v>
      </c>
      <c r="D81" s="114" t="s">
        <v>1877</v>
      </c>
      <c r="E81" s="82" t="s">
        <v>1467</v>
      </c>
      <c r="F81" s="79">
        <v>1781</v>
      </c>
      <c r="G81" s="96">
        <f>SUM(H81:K81)</f>
        <v>5.2266881720430103</v>
      </c>
      <c r="H81" s="97"/>
      <c r="I81" s="97">
        <f>I42/744</f>
        <v>5.2266881720430103</v>
      </c>
      <c r="J81" s="97"/>
      <c r="K81" s="98"/>
      <c r="L81" s="45"/>
      <c r="M81" s="85" t="s">
        <v>1468</v>
      </c>
      <c r="N81" s="86" t="s">
        <v>1451</v>
      </c>
      <c r="O81" s="86" t="s">
        <v>1466</v>
      </c>
    </row>
    <row r="82" spans="3:16" s="39" customFormat="1" ht="15" customHeight="1">
      <c r="C82" s="44"/>
      <c r="D82" s="108"/>
      <c r="E82" s="104" t="s">
        <v>334</v>
      </c>
      <c r="F82" s="73"/>
      <c r="G82" s="73"/>
      <c r="H82" s="73"/>
      <c r="I82" s="73"/>
      <c r="J82" s="73"/>
      <c r="K82" s="74"/>
      <c r="L82" s="45"/>
      <c r="M82" s="52"/>
      <c r="P82" s="115"/>
    </row>
    <row r="83" spans="3:16" s="39" customFormat="1" ht="15" customHeight="1">
      <c r="C83" s="44"/>
      <c r="D83" s="106" t="s">
        <v>408</v>
      </c>
      <c r="E83" s="105" t="s">
        <v>477</v>
      </c>
      <c r="F83" s="68" t="s">
        <v>257</v>
      </c>
      <c r="G83" s="90">
        <f t="shared" si="0"/>
        <v>0</v>
      </c>
      <c r="H83" s="91"/>
      <c r="I83" s="91"/>
      <c r="J83" s="91"/>
      <c r="K83" s="91"/>
      <c r="L83" s="45"/>
      <c r="M83" s="52"/>
      <c r="P83" s="115">
        <v>410</v>
      </c>
    </row>
    <row r="84" spans="3:16" s="39" customFormat="1" ht="15" customHeight="1">
      <c r="C84" s="44"/>
      <c r="D84" s="106" t="s">
        <v>409</v>
      </c>
      <c r="E84" s="88" t="s">
        <v>159</v>
      </c>
      <c r="F84" s="68" t="s">
        <v>258</v>
      </c>
      <c r="G84" s="90">
        <f t="shared" si="0"/>
        <v>3.9999301075268825</v>
      </c>
      <c r="H84" s="91">
        <f>H45/744</f>
        <v>1.3186881720430108</v>
      </c>
      <c r="I84" s="91">
        <f>I45/744</f>
        <v>1.2255766129032257</v>
      </c>
      <c r="J84" s="91">
        <f>J45/744</f>
        <v>1.4556653225806455</v>
      </c>
      <c r="K84" s="91">
        <f>K45/744</f>
        <v>5.2320565741302638E-16</v>
      </c>
      <c r="L84" s="45"/>
      <c r="M84" s="52"/>
      <c r="P84" s="115">
        <v>440</v>
      </c>
    </row>
    <row r="85" spans="3:16" s="39" customFormat="1" ht="15" customHeight="1">
      <c r="C85" s="44"/>
      <c r="D85" s="106" t="s">
        <v>410</v>
      </c>
      <c r="E85" s="88" t="s">
        <v>160</v>
      </c>
      <c r="F85" s="68" t="s">
        <v>259</v>
      </c>
      <c r="G85" s="90">
        <f t="shared" si="0"/>
        <v>0</v>
      </c>
      <c r="H85" s="91"/>
      <c r="I85" s="91"/>
      <c r="J85" s="91"/>
      <c r="K85" s="91"/>
      <c r="L85" s="45"/>
      <c r="M85" s="52"/>
      <c r="P85" s="115">
        <v>450</v>
      </c>
    </row>
    <row r="86" spans="3:16" s="39" customFormat="1" ht="15" customHeight="1">
      <c r="C86" s="44"/>
      <c r="D86" s="106" t="s">
        <v>411</v>
      </c>
      <c r="E86" s="88" t="s">
        <v>162</v>
      </c>
      <c r="F86" s="68" t="s">
        <v>260</v>
      </c>
      <c r="G86" s="90">
        <f t="shared" si="0"/>
        <v>0</v>
      </c>
      <c r="H86" s="91"/>
      <c r="I86" s="91"/>
      <c r="J86" s="91"/>
      <c r="K86" s="91"/>
      <c r="L86" s="45"/>
      <c r="M86" s="52"/>
      <c r="P86" s="115">
        <v>470</v>
      </c>
    </row>
    <row r="87" spans="3:16" s="39" customFormat="1" ht="15" customHeight="1">
      <c r="C87" s="44"/>
      <c r="D87" s="106" t="s">
        <v>412</v>
      </c>
      <c r="E87" s="88" t="s">
        <v>473</v>
      </c>
      <c r="F87" s="68" t="s">
        <v>261</v>
      </c>
      <c r="G87" s="90">
        <f t="shared" si="0"/>
        <v>0.1156263440860215</v>
      </c>
      <c r="H87" s="91">
        <f>H48/744</f>
        <v>1.3440860215053763E-5</v>
      </c>
      <c r="I87" s="91">
        <f>I48/744</f>
        <v>0.10578225806451613</v>
      </c>
      <c r="J87" s="91">
        <f>J48/744</f>
        <v>9.801075268817204E-3</v>
      </c>
      <c r="K87" s="91">
        <f>K48/744</f>
        <v>2.9569892473118277E-5</v>
      </c>
      <c r="L87" s="45"/>
      <c r="M87" s="52"/>
      <c r="P87" s="115">
        <v>480</v>
      </c>
    </row>
    <row r="88" spans="3:16" s="39" customFormat="1" ht="15" customHeight="1">
      <c r="C88" s="44"/>
      <c r="D88" s="106" t="s">
        <v>413</v>
      </c>
      <c r="E88" s="67" t="s">
        <v>233</v>
      </c>
      <c r="F88" s="68" t="s">
        <v>262</v>
      </c>
      <c r="G88" s="90">
        <f t="shared" si="0"/>
        <v>0</v>
      </c>
      <c r="H88" s="91"/>
      <c r="I88" s="122"/>
      <c r="J88" s="122"/>
      <c r="K88" s="122"/>
      <c r="L88" s="45"/>
      <c r="M88" s="52"/>
      <c r="P88" s="115">
        <v>490</v>
      </c>
    </row>
    <row r="89" spans="3:16" s="39" customFormat="1" ht="15" customHeight="1">
      <c r="C89" s="44"/>
      <c r="D89" s="106" t="s">
        <v>414</v>
      </c>
      <c r="E89" s="88" t="s">
        <v>417</v>
      </c>
      <c r="F89" s="68" t="s">
        <v>263</v>
      </c>
      <c r="G89" s="90">
        <f t="shared" si="0"/>
        <v>0.17742338709677419</v>
      </c>
      <c r="H89" s="91"/>
      <c r="I89" s="122">
        <f>I50/744</f>
        <v>4.5732652258064506E-2</v>
      </c>
      <c r="J89" s="122">
        <f>J50/744</f>
        <v>6.6079566290322578E-2</v>
      </c>
      <c r="K89" s="122">
        <f>K50/744</f>
        <v>6.5611168548387097E-2</v>
      </c>
      <c r="L89" s="45"/>
      <c r="M89" s="52"/>
      <c r="P89" s="115"/>
    </row>
    <row r="90" spans="3:16" s="39" customFormat="1" ht="33.75">
      <c r="C90" s="44"/>
      <c r="D90" s="106" t="s">
        <v>415</v>
      </c>
      <c r="E90" s="89" t="s">
        <v>236</v>
      </c>
      <c r="F90" s="68" t="s">
        <v>264</v>
      </c>
      <c r="G90" s="90">
        <f t="shared" si="0"/>
        <v>-6.1797043010752672E-2</v>
      </c>
      <c r="H90" s="90">
        <f>H87-H89</f>
        <v>1.3440860215053763E-5</v>
      </c>
      <c r="I90" s="90">
        <f>I87-I89</f>
        <v>6.0049605806451627E-2</v>
      </c>
      <c r="J90" s="90">
        <f>J87-J89</f>
        <v>-5.6278491021505374E-2</v>
      </c>
      <c r="K90" s="90">
        <f>K87-K89</f>
        <v>-6.5581598655913981E-2</v>
      </c>
      <c r="L90" s="45"/>
      <c r="M90" s="52"/>
      <c r="P90" s="115"/>
    </row>
    <row r="91" spans="3:16" s="39" customFormat="1" ht="15" customHeight="1">
      <c r="C91" s="44"/>
      <c r="D91" s="106" t="s">
        <v>416</v>
      </c>
      <c r="E91" s="88" t="s">
        <v>163</v>
      </c>
      <c r="F91" s="68" t="s">
        <v>265</v>
      </c>
      <c r="G91" s="90">
        <f t="shared" si="0"/>
        <v>0</v>
      </c>
      <c r="H91" s="90">
        <f>(H54+H67+H72)-(H73+H84+H85+H86+H87)</f>
        <v>0</v>
      </c>
      <c r="I91" s="90">
        <f>(I54+I67+I72)-(I73+I84+I85+I86+I87)</f>
        <v>0</v>
      </c>
      <c r="J91" s="90">
        <f>(J54+J67+J72)-(J73+J84+J85+J86+J87)</f>
        <v>0</v>
      </c>
      <c r="K91" s="90">
        <f>(K54+K67+K72)-(K73+K84+K85+K86+K87)</f>
        <v>0</v>
      </c>
      <c r="L91" s="45"/>
      <c r="M91" s="52"/>
      <c r="P91" s="115">
        <v>500</v>
      </c>
    </row>
    <row r="92" spans="3:16" s="39" customFormat="1" ht="15" customHeight="1">
      <c r="C92" s="44"/>
      <c r="D92" s="174" t="s">
        <v>202</v>
      </c>
      <c r="E92" s="175"/>
      <c r="F92" s="175"/>
      <c r="G92" s="175"/>
      <c r="H92" s="175"/>
      <c r="I92" s="175"/>
      <c r="J92" s="175"/>
      <c r="K92" s="176"/>
      <c r="L92" s="45"/>
      <c r="M92" s="52"/>
      <c r="P92" s="116"/>
    </row>
    <row r="93" spans="3:16" s="39" customFormat="1" ht="15" customHeight="1">
      <c r="C93" s="44"/>
      <c r="D93" s="106" t="s">
        <v>418</v>
      </c>
      <c r="E93" s="88" t="s">
        <v>164</v>
      </c>
      <c r="F93" s="68" t="s">
        <v>266</v>
      </c>
      <c r="G93" s="90">
        <f t="shared" si="0"/>
        <v>0</v>
      </c>
      <c r="H93" s="91"/>
      <c r="I93" s="91"/>
      <c r="J93" s="91"/>
      <c r="K93" s="91"/>
      <c r="L93" s="45"/>
      <c r="M93" s="52"/>
      <c r="P93" s="115">
        <v>600</v>
      </c>
    </row>
    <row r="94" spans="3:16" s="39" customFormat="1" ht="15" customHeight="1">
      <c r="C94" s="44"/>
      <c r="D94" s="106" t="s">
        <v>419</v>
      </c>
      <c r="E94" s="88" t="s">
        <v>165</v>
      </c>
      <c r="F94" s="68" t="s">
        <v>267</v>
      </c>
      <c r="G94" s="90">
        <f t="shared" si="0"/>
        <v>56.423000000000002</v>
      </c>
      <c r="H94" s="91"/>
      <c r="I94" s="91">
        <v>56.423000000000002</v>
      </c>
      <c r="J94" s="91"/>
      <c r="K94" s="91"/>
      <c r="L94" s="45"/>
      <c r="M94" s="52"/>
      <c r="P94" s="115">
        <v>610</v>
      </c>
    </row>
    <row r="95" spans="3:16" s="39" customFormat="1" ht="15" customHeight="1">
      <c r="C95" s="44"/>
      <c r="D95" s="106" t="s">
        <v>420</v>
      </c>
      <c r="E95" s="88" t="s">
        <v>166</v>
      </c>
      <c r="F95" s="68" t="s">
        <v>268</v>
      </c>
      <c r="G95" s="90">
        <f t="shared" si="0"/>
        <v>0</v>
      </c>
      <c r="H95" s="91"/>
      <c r="I95" s="91"/>
      <c r="J95" s="91"/>
      <c r="K95" s="91"/>
      <c r="L95" s="45"/>
      <c r="M95" s="52"/>
      <c r="P95" s="115">
        <v>620</v>
      </c>
    </row>
    <row r="96" spans="3:16" s="39" customFormat="1" ht="15" customHeight="1">
      <c r="C96" s="44"/>
      <c r="D96" s="174" t="s">
        <v>209</v>
      </c>
      <c r="E96" s="175"/>
      <c r="F96" s="175"/>
      <c r="G96" s="175"/>
      <c r="H96" s="175"/>
      <c r="I96" s="175"/>
      <c r="J96" s="175"/>
      <c r="K96" s="176"/>
      <c r="L96" s="45"/>
      <c r="M96" s="52"/>
      <c r="P96" s="116"/>
    </row>
    <row r="97" spans="3:16" s="39" customFormat="1" ht="15" customHeight="1">
      <c r="C97" s="44"/>
      <c r="D97" s="106" t="s">
        <v>421</v>
      </c>
      <c r="E97" s="88" t="s">
        <v>506</v>
      </c>
      <c r="F97" s="68" t="s">
        <v>269</v>
      </c>
      <c r="G97" s="90">
        <f t="shared" si="0"/>
        <v>0</v>
      </c>
      <c r="H97" s="90">
        <f>SUM(H98:H99)</f>
        <v>0</v>
      </c>
      <c r="I97" s="90">
        <f>SUM(I98:I99)</f>
        <v>0</v>
      </c>
      <c r="J97" s="90">
        <f>SUM(J98:J99)</f>
        <v>0</v>
      </c>
      <c r="K97" s="90">
        <f>SUM(K98:K99)</f>
        <v>0</v>
      </c>
      <c r="L97" s="45"/>
      <c r="M97" s="52"/>
      <c r="P97" s="115">
        <v>700</v>
      </c>
    </row>
    <row r="98" spans="3:16" ht="15" customHeight="1">
      <c r="C98" s="34"/>
      <c r="D98" s="107" t="s">
        <v>422</v>
      </c>
      <c r="E98" s="67" t="s">
        <v>167</v>
      </c>
      <c r="F98" s="68" t="s">
        <v>270</v>
      </c>
      <c r="G98" s="90">
        <f t="shared" si="0"/>
        <v>0</v>
      </c>
      <c r="H98" s="93"/>
      <c r="I98" s="93"/>
      <c r="J98" s="93"/>
      <c r="K98" s="93"/>
      <c r="L98" s="43"/>
      <c r="M98" s="52"/>
      <c r="P98" s="115">
        <v>710</v>
      </c>
    </row>
    <row r="99" spans="3:16" ht="15" customHeight="1">
      <c r="C99" s="34"/>
      <c r="D99" s="107" t="s">
        <v>423</v>
      </c>
      <c r="E99" s="67" t="s">
        <v>507</v>
      </c>
      <c r="F99" s="68" t="s">
        <v>271</v>
      </c>
      <c r="G99" s="90">
        <f t="shared" si="0"/>
        <v>0</v>
      </c>
      <c r="H99" s="110">
        <f>H102</f>
        <v>0</v>
      </c>
      <c r="I99" s="110">
        <f>I102</f>
        <v>0</v>
      </c>
      <c r="J99" s="110">
        <f>J102</f>
        <v>0</v>
      </c>
      <c r="K99" s="110">
        <f>K102</f>
        <v>0</v>
      </c>
      <c r="L99" s="43"/>
      <c r="M99" s="52"/>
      <c r="P99" s="115">
        <v>720</v>
      </c>
    </row>
    <row r="100" spans="3:16" ht="15" customHeight="1">
      <c r="C100" s="34"/>
      <c r="D100" s="107" t="s">
        <v>424</v>
      </c>
      <c r="E100" s="69" t="s">
        <v>508</v>
      </c>
      <c r="F100" s="68" t="s">
        <v>273</v>
      </c>
      <c r="G100" s="90">
        <f t="shared" si="0"/>
        <v>0</v>
      </c>
      <c r="H100" s="93"/>
      <c r="I100" s="93"/>
      <c r="J100" s="93"/>
      <c r="K100" s="93"/>
      <c r="L100" s="43"/>
      <c r="M100" s="52"/>
      <c r="P100" s="115">
        <v>730</v>
      </c>
    </row>
    <row r="101" spans="3:16" ht="15" customHeight="1">
      <c r="C101" s="34"/>
      <c r="D101" s="107" t="s">
        <v>425</v>
      </c>
      <c r="E101" s="71" t="s">
        <v>509</v>
      </c>
      <c r="F101" s="68" t="s">
        <v>274</v>
      </c>
      <c r="G101" s="90">
        <f t="shared" si="0"/>
        <v>0</v>
      </c>
      <c r="H101" s="93"/>
      <c r="I101" s="93"/>
      <c r="J101" s="93"/>
      <c r="K101" s="93"/>
      <c r="L101" s="43"/>
      <c r="M101" s="52"/>
      <c r="P101" s="115"/>
    </row>
    <row r="102" spans="3:16" ht="15" customHeight="1">
      <c r="C102" s="34"/>
      <c r="D102" s="107" t="s">
        <v>426</v>
      </c>
      <c r="E102" s="69" t="s">
        <v>478</v>
      </c>
      <c r="F102" s="68" t="s">
        <v>275</v>
      </c>
      <c r="G102" s="90">
        <f t="shared" si="0"/>
        <v>0</v>
      </c>
      <c r="H102" s="93"/>
      <c r="I102" s="93"/>
      <c r="J102" s="93"/>
      <c r="K102" s="93"/>
      <c r="L102" s="43"/>
      <c r="M102" s="52"/>
      <c r="P102" s="115">
        <v>740</v>
      </c>
    </row>
    <row r="103" spans="3:16" ht="15" customHeight="1">
      <c r="C103" s="34"/>
      <c r="D103" s="107" t="s">
        <v>427</v>
      </c>
      <c r="E103" s="88" t="s">
        <v>510</v>
      </c>
      <c r="F103" s="68" t="s">
        <v>277</v>
      </c>
      <c r="G103" s="90">
        <f t="shared" si="0"/>
        <v>0</v>
      </c>
      <c r="H103" s="110">
        <f>H104+H120</f>
        <v>0</v>
      </c>
      <c r="I103" s="110">
        <f>I104+I120</f>
        <v>0</v>
      </c>
      <c r="J103" s="110">
        <f>J104+J120</f>
        <v>0</v>
      </c>
      <c r="K103" s="110">
        <f>K104+K120</f>
        <v>0</v>
      </c>
      <c r="L103" s="43"/>
      <c r="M103" s="52"/>
      <c r="P103" s="115">
        <v>750</v>
      </c>
    </row>
    <row r="104" spans="3:16" ht="15" customHeight="1">
      <c r="C104" s="34"/>
      <c r="D104" s="107" t="s">
        <v>428</v>
      </c>
      <c r="E104" s="67" t="s">
        <v>279</v>
      </c>
      <c r="F104" s="68" t="s">
        <v>278</v>
      </c>
      <c r="G104" s="90">
        <f t="shared" si="0"/>
        <v>0</v>
      </c>
      <c r="H104" s="110">
        <f>H105+H106</f>
        <v>0</v>
      </c>
      <c r="I104" s="110">
        <f>I105+I106</f>
        <v>0</v>
      </c>
      <c r="J104" s="110">
        <f>J105+J106</f>
        <v>0</v>
      </c>
      <c r="K104" s="110">
        <f>K105+K106</f>
        <v>0</v>
      </c>
      <c r="L104" s="43"/>
      <c r="M104" s="52"/>
      <c r="P104" s="115">
        <v>760</v>
      </c>
    </row>
    <row r="105" spans="3:16" ht="15" customHeight="1">
      <c r="C105" s="34"/>
      <c r="D105" s="107" t="s">
        <v>429</v>
      </c>
      <c r="E105" s="69" t="s">
        <v>222</v>
      </c>
      <c r="F105" s="68" t="s">
        <v>280</v>
      </c>
      <c r="G105" s="90">
        <f t="shared" si="0"/>
        <v>0</v>
      </c>
      <c r="H105" s="93"/>
      <c r="I105" s="93"/>
      <c r="J105" s="93"/>
      <c r="K105" s="93"/>
      <c r="L105" s="43"/>
      <c r="M105" s="52"/>
      <c r="P105" s="115"/>
    </row>
    <row r="106" spans="3:16" ht="15" customHeight="1">
      <c r="C106" s="34"/>
      <c r="D106" s="107" t="s">
        <v>430</v>
      </c>
      <c r="E106" s="69" t="s">
        <v>511</v>
      </c>
      <c r="F106" s="68" t="s">
        <v>281</v>
      </c>
      <c r="G106" s="90">
        <f t="shared" si="0"/>
        <v>0</v>
      </c>
      <c r="H106" s="110">
        <f>H107+H110+H113+H116+H117+H118+H119</f>
        <v>0</v>
      </c>
      <c r="I106" s="110">
        <f>I107+I110+I113+I116+I117+I118+I119</f>
        <v>0</v>
      </c>
      <c r="J106" s="110">
        <f>J107+J110+J113+J116+J117+J118+J119</f>
        <v>0</v>
      </c>
      <c r="K106" s="110">
        <f>K107+K110+K113+K116+K117+K118+K119</f>
        <v>0</v>
      </c>
      <c r="L106" s="43"/>
      <c r="M106" s="52"/>
      <c r="P106" s="115"/>
    </row>
    <row r="107" spans="3:16" ht="45">
      <c r="C107" s="34"/>
      <c r="D107" s="107" t="s">
        <v>431</v>
      </c>
      <c r="E107" s="71" t="s">
        <v>512</v>
      </c>
      <c r="F107" s="68" t="s">
        <v>282</v>
      </c>
      <c r="G107" s="90">
        <f t="shared" si="0"/>
        <v>0</v>
      </c>
      <c r="H107" s="99">
        <f>H108+H109</f>
        <v>0</v>
      </c>
      <c r="I107" s="99">
        <f>I108+I109</f>
        <v>0</v>
      </c>
      <c r="J107" s="99">
        <f>J108+J109</f>
        <v>0</v>
      </c>
      <c r="K107" s="99">
        <f>K108+K109</f>
        <v>0</v>
      </c>
      <c r="L107" s="43"/>
      <c r="M107" s="52"/>
      <c r="P107" s="115"/>
    </row>
    <row r="108" spans="3:16" ht="15" customHeight="1">
      <c r="C108" s="34"/>
      <c r="D108" s="107" t="s">
        <v>433</v>
      </c>
      <c r="E108" s="72" t="s">
        <v>283</v>
      </c>
      <c r="F108" s="68" t="s">
        <v>284</v>
      </c>
      <c r="G108" s="90">
        <f t="shared" si="0"/>
        <v>0</v>
      </c>
      <c r="H108" s="93"/>
      <c r="I108" s="93"/>
      <c r="J108" s="93"/>
      <c r="K108" s="93"/>
      <c r="L108" s="43"/>
      <c r="M108" s="52"/>
      <c r="P108" s="115"/>
    </row>
    <row r="109" spans="3:16" ht="15" customHeight="1">
      <c r="C109" s="34"/>
      <c r="D109" s="107" t="s">
        <v>434</v>
      </c>
      <c r="E109" s="72" t="s">
        <v>285</v>
      </c>
      <c r="F109" s="68" t="s">
        <v>286</v>
      </c>
      <c r="G109" s="90">
        <f t="shared" si="0"/>
        <v>0</v>
      </c>
      <c r="H109" s="93"/>
      <c r="I109" s="93"/>
      <c r="J109" s="93"/>
      <c r="K109" s="93"/>
      <c r="L109" s="43"/>
      <c r="M109" s="52"/>
      <c r="P109" s="115"/>
    </row>
    <row r="110" spans="3:16" ht="45">
      <c r="C110" s="34"/>
      <c r="D110" s="107" t="s">
        <v>432</v>
      </c>
      <c r="E110" s="71" t="s">
        <v>513</v>
      </c>
      <c r="F110" s="68" t="s">
        <v>287</v>
      </c>
      <c r="G110" s="90">
        <f t="shared" si="0"/>
        <v>0</v>
      </c>
      <c r="H110" s="99">
        <f>H111+H112</f>
        <v>0</v>
      </c>
      <c r="I110" s="99">
        <f>I111+I112</f>
        <v>0</v>
      </c>
      <c r="J110" s="99">
        <f>J111+J112</f>
        <v>0</v>
      </c>
      <c r="K110" s="99">
        <f>K111+K112</f>
        <v>0</v>
      </c>
      <c r="L110" s="43"/>
      <c r="M110" s="52"/>
      <c r="P110" s="115"/>
    </row>
    <row r="111" spans="3:16" ht="15" customHeight="1">
      <c r="C111" s="34"/>
      <c r="D111" s="107" t="s">
        <v>435</v>
      </c>
      <c r="E111" s="72" t="s">
        <v>283</v>
      </c>
      <c r="F111" s="68" t="s">
        <v>288</v>
      </c>
      <c r="G111" s="90">
        <f t="shared" si="0"/>
        <v>0</v>
      </c>
      <c r="H111" s="93"/>
      <c r="I111" s="93"/>
      <c r="J111" s="93"/>
      <c r="K111" s="93"/>
      <c r="L111" s="43"/>
      <c r="M111" s="52"/>
      <c r="P111" s="115"/>
    </row>
    <row r="112" spans="3:16" ht="15" customHeight="1">
      <c r="C112" s="34"/>
      <c r="D112" s="107" t="s">
        <v>436</v>
      </c>
      <c r="E112" s="72" t="s">
        <v>285</v>
      </c>
      <c r="F112" s="68" t="s">
        <v>289</v>
      </c>
      <c r="G112" s="90">
        <f t="shared" si="0"/>
        <v>0</v>
      </c>
      <c r="H112" s="93"/>
      <c r="I112" s="93"/>
      <c r="J112" s="93"/>
      <c r="K112" s="93"/>
      <c r="L112" s="43"/>
      <c r="M112" s="52"/>
      <c r="P112" s="115"/>
    </row>
    <row r="113" spans="3:16" ht="15" customHeight="1">
      <c r="C113" s="34"/>
      <c r="D113" s="107" t="s">
        <v>437</v>
      </c>
      <c r="E113" s="71" t="s">
        <v>514</v>
      </c>
      <c r="F113" s="68" t="s">
        <v>290</v>
      </c>
      <c r="G113" s="90">
        <f t="shared" si="0"/>
        <v>0</v>
      </c>
      <c r="H113" s="99">
        <f>H114+H115</f>
        <v>0</v>
      </c>
      <c r="I113" s="99">
        <f>I114+I115</f>
        <v>0</v>
      </c>
      <c r="J113" s="99">
        <f>J114+J115</f>
        <v>0</v>
      </c>
      <c r="K113" s="99">
        <f>K114+K115</f>
        <v>0</v>
      </c>
      <c r="L113" s="43"/>
      <c r="M113" s="52"/>
      <c r="P113" s="115"/>
    </row>
    <row r="114" spans="3:16" ht="15" customHeight="1">
      <c r="C114" s="34"/>
      <c r="D114" s="107" t="s">
        <v>438</v>
      </c>
      <c r="E114" s="72" t="s">
        <v>283</v>
      </c>
      <c r="F114" s="68" t="s">
        <v>291</v>
      </c>
      <c r="G114" s="90">
        <f t="shared" si="0"/>
        <v>0</v>
      </c>
      <c r="H114" s="93"/>
      <c r="I114" s="93"/>
      <c r="J114" s="93"/>
      <c r="K114" s="93"/>
      <c r="L114" s="43"/>
      <c r="M114" s="52"/>
      <c r="P114" s="115"/>
    </row>
    <row r="115" spans="3:16" ht="15" customHeight="1">
      <c r="C115" s="34"/>
      <c r="D115" s="107" t="s">
        <v>439</v>
      </c>
      <c r="E115" s="72" t="s">
        <v>285</v>
      </c>
      <c r="F115" s="68" t="s">
        <v>292</v>
      </c>
      <c r="G115" s="90">
        <f t="shared" si="0"/>
        <v>0</v>
      </c>
      <c r="H115" s="93"/>
      <c r="I115" s="93"/>
      <c r="J115" s="93"/>
      <c r="K115" s="93"/>
      <c r="L115" s="43"/>
      <c r="M115" s="52"/>
      <c r="P115" s="115"/>
    </row>
    <row r="116" spans="3:16" ht="15" customHeight="1">
      <c r="C116" s="34"/>
      <c r="D116" s="107" t="s">
        <v>440</v>
      </c>
      <c r="E116" s="71" t="s">
        <v>293</v>
      </c>
      <c r="F116" s="68" t="s">
        <v>294</v>
      </c>
      <c r="G116" s="90">
        <f t="shared" si="0"/>
        <v>0</v>
      </c>
      <c r="H116" s="93"/>
      <c r="I116" s="93"/>
      <c r="J116" s="93"/>
      <c r="K116" s="93"/>
      <c r="L116" s="43"/>
      <c r="M116" s="52"/>
      <c r="P116" s="115"/>
    </row>
    <row r="117" spans="3:16" ht="15" customHeight="1">
      <c r="C117" s="34"/>
      <c r="D117" s="107" t="s">
        <v>441</v>
      </c>
      <c r="E117" s="71" t="s">
        <v>295</v>
      </c>
      <c r="F117" s="68" t="s">
        <v>296</v>
      </c>
      <c r="G117" s="90">
        <f t="shared" si="0"/>
        <v>0</v>
      </c>
      <c r="H117" s="93"/>
      <c r="I117" s="93"/>
      <c r="J117" s="93"/>
      <c r="K117" s="93"/>
      <c r="L117" s="43"/>
      <c r="M117" s="52"/>
      <c r="P117" s="115"/>
    </row>
    <row r="118" spans="3:16" ht="19.5" customHeight="1">
      <c r="C118" s="34"/>
      <c r="D118" s="107" t="s">
        <v>442</v>
      </c>
      <c r="E118" s="71" t="s">
        <v>479</v>
      </c>
      <c r="F118" s="68" t="s">
        <v>297</v>
      </c>
      <c r="G118" s="90">
        <f t="shared" si="0"/>
        <v>0</v>
      </c>
      <c r="H118" s="93"/>
      <c r="I118" s="93"/>
      <c r="J118" s="93"/>
      <c r="K118" s="93"/>
      <c r="L118" s="43"/>
      <c r="M118" s="52"/>
      <c r="P118" s="115"/>
    </row>
    <row r="119" spans="3:16" ht="33.75" customHeight="1">
      <c r="C119" s="34"/>
      <c r="D119" s="107" t="s">
        <v>443</v>
      </c>
      <c r="E119" s="71" t="s">
        <v>298</v>
      </c>
      <c r="F119" s="68" t="s">
        <v>299</v>
      </c>
      <c r="G119" s="90">
        <f t="shared" si="0"/>
        <v>0</v>
      </c>
      <c r="H119" s="93"/>
      <c r="I119" s="93"/>
      <c r="J119" s="93"/>
      <c r="K119" s="93"/>
      <c r="L119" s="43"/>
      <c r="M119" s="52"/>
      <c r="P119" s="115"/>
    </row>
    <row r="120" spans="3:16" ht="15" customHeight="1">
      <c r="C120" s="34"/>
      <c r="D120" s="107" t="s">
        <v>444</v>
      </c>
      <c r="E120" s="67" t="s">
        <v>515</v>
      </c>
      <c r="F120" s="68" t="s">
        <v>300</v>
      </c>
      <c r="G120" s="90">
        <f t="shared" si="0"/>
        <v>0</v>
      </c>
      <c r="H120" s="110">
        <f>H123</f>
        <v>0</v>
      </c>
      <c r="I120" s="110">
        <f>I123</f>
        <v>0</v>
      </c>
      <c r="J120" s="110">
        <f>J123</f>
        <v>0</v>
      </c>
      <c r="K120" s="110">
        <f>K123</f>
        <v>0</v>
      </c>
      <c r="L120" s="43"/>
      <c r="M120" s="52"/>
      <c r="P120" s="115">
        <v>770</v>
      </c>
    </row>
    <row r="121" spans="3:16" ht="15" customHeight="1">
      <c r="C121" s="34"/>
      <c r="D121" s="107" t="s">
        <v>445</v>
      </c>
      <c r="E121" s="69" t="s">
        <v>508</v>
      </c>
      <c r="F121" s="68" t="s">
        <v>301</v>
      </c>
      <c r="G121" s="90">
        <f t="shared" si="0"/>
        <v>0</v>
      </c>
      <c r="H121" s="93"/>
      <c r="I121" s="93"/>
      <c r="J121" s="93"/>
      <c r="K121" s="93"/>
      <c r="L121" s="43"/>
      <c r="M121" s="52"/>
      <c r="P121" s="115">
        <v>780</v>
      </c>
    </row>
    <row r="122" spans="3:16" ht="15" customHeight="1">
      <c r="C122" s="34"/>
      <c r="D122" s="107" t="s">
        <v>446</v>
      </c>
      <c r="E122" s="71" t="s">
        <v>516</v>
      </c>
      <c r="F122" s="68" t="s">
        <v>302</v>
      </c>
      <c r="G122" s="90">
        <f t="shared" si="0"/>
        <v>0</v>
      </c>
      <c r="H122" s="93"/>
      <c r="I122" s="93"/>
      <c r="J122" s="93"/>
      <c r="K122" s="93"/>
      <c r="L122" s="43"/>
      <c r="M122" s="52"/>
      <c r="P122" s="115"/>
    </row>
    <row r="123" spans="3:16" ht="15" customHeight="1">
      <c r="C123" s="34"/>
      <c r="D123" s="107" t="s">
        <v>447</v>
      </c>
      <c r="E123" s="69" t="s">
        <v>478</v>
      </c>
      <c r="F123" s="68" t="s">
        <v>303</v>
      </c>
      <c r="G123" s="90">
        <f t="shared" si="0"/>
        <v>0</v>
      </c>
      <c r="H123" s="93"/>
      <c r="I123" s="93"/>
      <c r="J123" s="93"/>
      <c r="K123" s="93"/>
      <c r="L123" s="43"/>
      <c r="M123" s="52"/>
      <c r="P123" s="115">
        <v>790</v>
      </c>
    </row>
    <row r="124" spans="3:16" ht="27" customHeight="1">
      <c r="C124" s="34"/>
      <c r="D124" s="107" t="s">
        <v>448</v>
      </c>
      <c r="E124" s="89" t="s">
        <v>517</v>
      </c>
      <c r="F124" s="68" t="s">
        <v>304</v>
      </c>
      <c r="G124" s="90">
        <f t="shared" si="0"/>
        <v>8182.380000000001</v>
      </c>
      <c r="H124" s="110">
        <f>SUM(H125:H126)</f>
        <v>0.01</v>
      </c>
      <c r="I124" s="110">
        <f>SUM(I125:I126)</f>
        <v>4655.8680000000004</v>
      </c>
      <c r="J124" s="110">
        <f>SUM(J125:J126)</f>
        <v>2443.5089999999996</v>
      </c>
      <c r="K124" s="110">
        <f>SUM(K125:K126)</f>
        <v>1082.9929999999999</v>
      </c>
      <c r="L124" s="43"/>
      <c r="M124" s="52"/>
      <c r="P124" s="115"/>
    </row>
    <row r="125" spans="3:16" ht="15" customHeight="1">
      <c r="C125" s="34"/>
      <c r="D125" s="107" t="s">
        <v>449</v>
      </c>
      <c r="E125" s="67" t="s">
        <v>167</v>
      </c>
      <c r="F125" s="68" t="s">
        <v>305</v>
      </c>
      <c r="G125" s="90">
        <f t="shared" si="0"/>
        <v>0</v>
      </c>
      <c r="H125" s="93"/>
      <c r="I125" s="93"/>
      <c r="J125" s="93"/>
      <c r="K125" s="93"/>
      <c r="L125" s="43"/>
      <c r="M125" s="52"/>
      <c r="P125" s="115"/>
    </row>
    <row r="126" spans="3:16" ht="15" customHeight="1">
      <c r="C126" s="34"/>
      <c r="D126" s="107" t="s">
        <v>450</v>
      </c>
      <c r="E126" s="67" t="s">
        <v>507</v>
      </c>
      <c r="F126" s="68" t="s">
        <v>306</v>
      </c>
      <c r="G126" s="90">
        <f t="shared" si="0"/>
        <v>8182.380000000001</v>
      </c>
      <c r="H126" s="110">
        <f>H128</f>
        <v>0.01</v>
      </c>
      <c r="I126" s="110">
        <f>I128</f>
        <v>4655.8680000000004</v>
      </c>
      <c r="J126" s="110">
        <f>J128</f>
        <v>2443.5089999999996</v>
      </c>
      <c r="K126" s="110">
        <f>K128</f>
        <v>1082.9929999999999</v>
      </c>
      <c r="L126" s="43"/>
      <c r="M126" s="52"/>
      <c r="P126" s="115"/>
    </row>
    <row r="127" spans="3:16" ht="15" customHeight="1">
      <c r="C127" s="34"/>
      <c r="D127" s="107" t="s">
        <v>451</v>
      </c>
      <c r="E127" s="69" t="s">
        <v>272</v>
      </c>
      <c r="F127" s="68" t="s">
        <v>307</v>
      </c>
      <c r="G127" s="90">
        <f t="shared" si="0"/>
        <v>56.423000000000002</v>
      </c>
      <c r="H127" s="93"/>
      <c r="I127" s="93">
        <f>I94</f>
        <v>56.423000000000002</v>
      </c>
      <c r="J127" s="93"/>
      <c r="K127" s="93"/>
      <c r="L127" s="43"/>
      <c r="M127" s="52"/>
      <c r="P127" s="115"/>
    </row>
    <row r="128" spans="3:16" ht="15" customHeight="1">
      <c r="C128" s="34"/>
      <c r="D128" s="107" t="s">
        <v>452</v>
      </c>
      <c r="E128" s="69" t="s">
        <v>478</v>
      </c>
      <c r="F128" s="68" t="s">
        <v>308</v>
      </c>
      <c r="G128" s="90">
        <f t="shared" si="0"/>
        <v>8182.380000000001</v>
      </c>
      <c r="H128" s="93">
        <f>H48+H34</f>
        <v>0.01</v>
      </c>
      <c r="I128" s="93">
        <f>I34+72.42</f>
        <v>4655.8680000000004</v>
      </c>
      <c r="J128" s="93">
        <f>J34+4.999+1.653+6.944</f>
        <v>2443.5089999999996</v>
      </c>
      <c r="K128" s="93">
        <f>K34</f>
        <v>1082.9929999999999</v>
      </c>
      <c r="L128" s="43"/>
      <c r="M128" s="52"/>
      <c r="P128" s="115"/>
    </row>
    <row r="129" spans="3:16" ht="15" customHeight="1">
      <c r="C129" s="34"/>
      <c r="D129" s="174" t="s">
        <v>203</v>
      </c>
      <c r="E129" s="175"/>
      <c r="F129" s="175"/>
      <c r="G129" s="175"/>
      <c r="H129" s="175"/>
      <c r="I129" s="175"/>
      <c r="J129" s="175"/>
      <c r="K129" s="176"/>
      <c r="L129" s="43"/>
      <c r="M129" s="52"/>
      <c r="P129" s="117"/>
    </row>
    <row r="130" spans="3:16" ht="22.5">
      <c r="C130" s="34"/>
      <c r="D130" s="107" t="s">
        <v>453</v>
      </c>
      <c r="E130" s="88" t="s">
        <v>518</v>
      </c>
      <c r="F130" s="68" t="s">
        <v>309</v>
      </c>
      <c r="G130" s="90">
        <f t="shared" si="0"/>
        <v>0</v>
      </c>
      <c r="H130" s="110">
        <f>SUM( H131:H132)</f>
        <v>0</v>
      </c>
      <c r="I130" s="110">
        <f>SUM( I131:I132)</f>
        <v>0</v>
      </c>
      <c r="J130" s="110">
        <f>SUM( J131:J132)</f>
        <v>0</v>
      </c>
      <c r="K130" s="110">
        <f>SUM( K131:K132)</f>
        <v>0</v>
      </c>
      <c r="L130" s="43"/>
      <c r="M130" s="52"/>
      <c r="P130" s="115">
        <v>800</v>
      </c>
    </row>
    <row r="131" spans="3:16" ht="15" customHeight="1">
      <c r="C131" s="34"/>
      <c r="D131" s="107" t="s">
        <v>454</v>
      </c>
      <c r="E131" s="67" t="s">
        <v>167</v>
      </c>
      <c r="F131" s="68" t="s">
        <v>310</v>
      </c>
      <c r="G131" s="90">
        <f t="shared" si="0"/>
        <v>0</v>
      </c>
      <c r="H131" s="93"/>
      <c r="I131" s="93"/>
      <c r="J131" s="93"/>
      <c r="K131" s="93"/>
      <c r="L131" s="43"/>
      <c r="M131" s="52"/>
      <c r="P131" s="115">
        <v>810</v>
      </c>
    </row>
    <row r="132" spans="3:16" ht="15" customHeight="1">
      <c r="C132" s="34"/>
      <c r="D132" s="107" t="s">
        <v>455</v>
      </c>
      <c r="E132" s="67" t="s">
        <v>507</v>
      </c>
      <c r="F132" s="68" t="s">
        <v>311</v>
      </c>
      <c r="G132" s="90">
        <f t="shared" si="0"/>
        <v>0</v>
      </c>
      <c r="H132" s="110">
        <f>H133+H135</f>
        <v>0</v>
      </c>
      <c r="I132" s="110">
        <f>I133+I135</f>
        <v>0</v>
      </c>
      <c r="J132" s="110">
        <f>J133+J135</f>
        <v>0</v>
      </c>
      <c r="K132" s="110">
        <f>K133+K135</f>
        <v>0</v>
      </c>
      <c r="L132" s="43"/>
      <c r="M132" s="52"/>
      <c r="P132" s="115">
        <v>820</v>
      </c>
    </row>
    <row r="133" spans="3:16" ht="15" customHeight="1">
      <c r="C133" s="34"/>
      <c r="D133" s="107" t="s">
        <v>456</v>
      </c>
      <c r="E133" s="119" t="s">
        <v>519</v>
      </c>
      <c r="F133" s="68" t="s">
        <v>312</v>
      </c>
      <c r="G133" s="90">
        <f t="shared" si="0"/>
        <v>0</v>
      </c>
      <c r="H133" s="93"/>
      <c r="I133" s="93"/>
      <c r="J133" s="93"/>
      <c r="K133" s="93"/>
      <c r="L133" s="43"/>
      <c r="M133" s="52"/>
      <c r="P133" s="115">
        <v>830</v>
      </c>
    </row>
    <row r="134" spans="3:16" ht="15" customHeight="1">
      <c r="C134" s="34"/>
      <c r="D134" s="107" t="s">
        <v>457</v>
      </c>
      <c r="E134" s="71" t="s">
        <v>520</v>
      </c>
      <c r="F134" s="68" t="s">
        <v>313</v>
      </c>
      <c r="G134" s="90">
        <f t="shared" si="0"/>
        <v>0</v>
      </c>
      <c r="H134" s="93"/>
      <c r="I134" s="93"/>
      <c r="J134" s="93"/>
      <c r="K134" s="93"/>
      <c r="L134" s="43"/>
      <c r="M134" s="52"/>
      <c r="P134" s="117"/>
    </row>
    <row r="135" spans="3:16" ht="15" customHeight="1">
      <c r="C135" s="34"/>
      <c r="D135" s="107" t="s">
        <v>458</v>
      </c>
      <c r="E135" s="119" t="s">
        <v>169</v>
      </c>
      <c r="F135" s="68" t="s">
        <v>314</v>
      </c>
      <c r="G135" s="90">
        <f t="shared" si="0"/>
        <v>0</v>
      </c>
      <c r="H135" s="93"/>
      <c r="I135" s="93"/>
      <c r="J135" s="93"/>
      <c r="K135" s="93"/>
      <c r="L135" s="43"/>
      <c r="M135" s="52"/>
      <c r="P135" s="115">
        <v>840</v>
      </c>
    </row>
    <row r="136" spans="3:16" ht="15" customHeight="1">
      <c r="C136" s="34"/>
      <c r="D136" s="107" t="s">
        <v>336</v>
      </c>
      <c r="E136" s="88" t="s">
        <v>521</v>
      </c>
      <c r="F136" s="68" t="s">
        <v>315</v>
      </c>
      <c r="G136" s="90">
        <f t="shared" si="0"/>
        <v>0</v>
      </c>
      <c r="H136" s="99">
        <f>SUM( H137+H142)</f>
        <v>0</v>
      </c>
      <c r="I136" s="99">
        <f>SUM( I137+I142)</f>
        <v>0</v>
      </c>
      <c r="J136" s="99">
        <f>SUM( J137+J142)</f>
        <v>0</v>
      </c>
      <c r="K136" s="99">
        <f>SUM( K137+K142)</f>
        <v>0</v>
      </c>
      <c r="L136" s="47"/>
      <c r="M136" s="52"/>
      <c r="P136" s="115">
        <v>850</v>
      </c>
    </row>
    <row r="137" spans="3:16" ht="15" customHeight="1">
      <c r="C137" s="34"/>
      <c r="D137" s="107" t="s">
        <v>459</v>
      </c>
      <c r="E137" s="67" t="s">
        <v>167</v>
      </c>
      <c r="F137" s="68" t="s">
        <v>316</v>
      </c>
      <c r="G137" s="90">
        <f t="shared" ref="G137:G150" si="1">SUM(H137:K137)</f>
        <v>0</v>
      </c>
      <c r="H137" s="99">
        <f>SUM( H138:H139)</f>
        <v>0</v>
      </c>
      <c r="I137" s="99">
        <f>SUM( I138:I139)</f>
        <v>0</v>
      </c>
      <c r="J137" s="99">
        <f>SUM( J138:J139)</f>
        <v>0</v>
      </c>
      <c r="K137" s="99">
        <f>SUM( K138:K139)</f>
        <v>0</v>
      </c>
      <c r="L137" s="47"/>
      <c r="M137" s="52"/>
      <c r="P137" s="115">
        <v>860</v>
      </c>
    </row>
    <row r="138" spans="3:16" ht="15" customHeight="1">
      <c r="C138" s="34"/>
      <c r="D138" s="107" t="s">
        <v>460</v>
      </c>
      <c r="E138" s="69" t="s">
        <v>222</v>
      </c>
      <c r="F138" s="68" t="s">
        <v>317</v>
      </c>
      <c r="G138" s="90">
        <f t="shared" si="1"/>
        <v>0</v>
      </c>
      <c r="H138" s="94"/>
      <c r="I138" s="94"/>
      <c r="J138" s="94"/>
      <c r="K138" s="94"/>
      <c r="L138" s="47"/>
      <c r="M138" s="52"/>
      <c r="P138" s="115"/>
    </row>
    <row r="139" spans="3:16" ht="15" customHeight="1">
      <c r="C139" s="34"/>
      <c r="D139" s="107" t="s">
        <v>461</v>
      </c>
      <c r="E139" s="69" t="s">
        <v>511</v>
      </c>
      <c r="F139" s="68" t="s">
        <v>318</v>
      </c>
      <c r="G139" s="90">
        <f t="shared" si="1"/>
        <v>0</v>
      </c>
      <c r="H139" s="99">
        <f>H140+H141</f>
        <v>0</v>
      </c>
      <c r="I139" s="99">
        <f>I140+I141</f>
        <v>0</v>
      </c>
      <c r="J139" s="99">
        <f>J140+J141</f>
        <v>0</v>
      </c>
      <c r="K139" s="99">
        <f>K140+K141</f>
        <v>0</v>
      </c>
      <c r="L139" s="47"/>
      <c r="M139" s="52"/>
      <c r="P139" s="115"/>
    </row>
    <row r="140" spans="3:16" ht="15" customHeight="1">
      <c r="C140" s="34"/>
      <c r="D140" s="107" t="s">
        <v>462</v>
      </c>
      <c r="E140" s="71" t="s">
        <v>283</v>
      </c>
      <c r="F140" s="68" t="s">
        <v>319</v>
      </c>
      <c r="G140" s="90">
        <f t="shared" si="1"/>
        <v>0</v>
      </c>
      <c r="H140" s="94"/>
      <c r="I140" s="94"/>
      <c r="J140" s="94"/>
      <c r="K140" s="94"/>
      <c r="L140" s="47"/>
      <c r="M140" s="52"/>
      <c r="P140" s="115"/>
    </row>
    <row r="141" spans="3:16" ht="15" customHeight="1">
      <c r="C141" s="34"/>
      <c r="D141" s="107" t="s">
        <v>463</v>
      </c>
      <c r="E141" s="71" t="s">
        <v>320</v>
      </c>
      <c r="F141" s="68" t="s">
        <v>321</v>
      </c>
      <c r="G141" s="90">
        <f t="shared" si="1"/>
        <v>0</v>
      </c>
      <c r="H141" s="94"/>
      <c r="I141" s="94"/>
      <c r="J141" s="94"/>
      <c r="K141" s="94"/>
      <c r="L141" s="47"/>
      <c r="M141" s="52"/>
      <c r="P141" s="115"/>
    </row>
    <row r="142" spans="3:16" ht="15" customHeight="1">
      <c r="C142" s="34"/>
      <c r="D142" s="107" t="s">
        <v>464</v>
      </c>
      <c r="E142" s="67" t="s">
        <v>515</v>
      </c>
      <c r="F142" s="68" t="s">
        <v>322</v>
      </c>
      <c r="G142" s="90">
        <f t="shared" si="1"/>
        <v>0</v>
      </c>
      <c r="H142" s="99">
        <f>H143+H145</f>
        <v>0</v>
      </c>
      <c r="I142" s="99">
        <f>I143+I145</f>
        <v>0</v>
      </c>
      <c r="J142" s="99">
        <f>J143+J145</f>
        <v>0</v>
      </c>
      <c r="K142" s="99">
        <f>K143+K145</f>
        <v>0</v>
      </c>
      <c r="L142" s="47"/>
      <c r="M142" s="52"/>
      <c r="P142" s="115">
        <v>870</v>
      </c>
    </row>
    <row r="143" spans="3:16" ht="15" customHeight="1">
      <c r="C143" s="34"/>
      <c r="D143" s="107" t="s">
        <v>465</v>
      </c>
      <c r="E143" s="69" t="s">
        <v>519</v>
      </c>
      <c r="F143" s="68" t="s">
        <v>323</v>
      </c>
      <c r="G143" s="90">
        <f t="shared" si="1"/>
        <v>0</v>
      </c>
      <c r="H143" s="93"/>
      <c r="I143" s="93"/>
      <c r="J143" s="93"/>
      <c r="K143" s="93"/>
      <c r="L143" s="47"/>
      <c r="M143" s="52"/>
      <c r="P143" s="115">
        <v>880</v>
      </c>
    </row>
    <row r="144" spans="3:16" ht="15" customHeight="1">
      <c r="C144" s="34"/>
      <c r="D144" s="107" t="s">
        <v>466</v>
      </c>
      <c r="E144" s="71" t="s">
        <v>520</v>
      </c>
      <c r="F144" s="68" t="s">
        <v>324</v>
      </c>
      <c r="G144" s="90">
        <f t="shared" si="1"/>
        <v>0</v>
      </c>
      <c r="H144" s="93"/>
      <c r="I144" s="93"/>
      <c r="J144" s="93"/>
      <c r="K144" s="93"/>
      <c r="L144" s="47"/>
      <c r="M144" s="52"/>
      <c r="P144" s="115"/>
    </row>
    <row r="145" spans="3:19" ht="15" customHeight="1">
      <c r="C145" s="34"/>
      <c r="D145" s="107" t="s">
        <v>467</v>
      </c>
      <c r="E145" s="69" t="s">
        <v>169</v>
      </c>
      <c r="F145" s="68" t="s">
        <v>325</v>
      </c>
      <c r="G145" s="90">
        <f t="shared" si="1"/>
        <v>0</v>
      </c>
      <c r="H145" s="95"/>
      <c r="I145" s="95"/>
      <c r="J145" s="95"/>
      <c r="K145" s="95"/>
      <c r="L145" s="47"/>
      <c r="M145" s="52"/>
      <c r="P145" s="115">
        <v>890</v>
      </c>
    </row>
    <row r="146" spans="3:19" ht="28.5" customHeight="1">
      <c r="C146" s="34"/>
      <c r="D146" s="107" t="s">
        <v>468</v>
      </c>
      <c r="E146" s="88" t="s">
        <v>522</v>
      </c>
      <c r="F146" s="68" t="s">
        <v>326</v>
      </c>
      <c r="G146" s="90">
        <f t="shared" si="1"/>
        <v>4308.9776790959995</v>
      </c>
      <c r="H146" s="111">
        <f>SUM( H147:H148)</f>
        <v>9.8159999999999979E-4</v>
      </c>
      <c r="I146" s="111">
        <f>SUM( I147:I148)</f>
        <v>3962.8152611760001</v>
      </c>
      <c r="J146" s="111">
        <f>SUM( J147:J148)</f>
        <v>239.85484343999991</v>
      </c>
      <c r="K146" s="111">
        <f>SUM( K147:K148)</f>
        <v>106.30659288</v>
      </c>
      <c r="L146" s="47"/>
      <c r="M146" s="52"/>
      <c r="P146" s="115">
        <v>900</v>
      </c>
    </row>
    <row r="147" spans="3:19" ht="15" customHeight="1">
      <c r="C147" s="34"/>
      <c r="D147" s="107" t="s">
        <v>469</v>
      </c>
      <c r="E147" s="67" t="s">
        <v>167</v>
      </c>
      <c r="F147" s="68" t="s">
        <v>327</v>
      </c>
      <c r="G147" s="90">
        <f t="shared" si="1"/>
        <v>0</v>
      </c>
      <c r="H147" s="95"/>
      <c r="I147" s="95"/>
      <c r="J147" s="95"/>
      <c r="K147" s="95"/>
      <c r="L147" s="47"/>
      <c r="M147" s="52"/>
      <c r="P147" s="115"/>
    </row>
    <row r="148" spans="3:19" ht="15" customHeight="1">
      <c r="C148" s="34"/>
      <c r="D148" s="107" t="s">
        <v>470</v>
      </c>
      <c r="E148" s="67" t="s">
        <v>507</v>
      </c>
      <c r="F148" s="68" t="s">
        <v>328</v>
      </c>
      <c r="G148" s="90">
        <f t="shared" si="1"/>
        <v>4308.9776790959995</v>
      </c>
      <c r="H148" s="111">
        <f>H149+H150</f>
        <v>9.8159999999999979E-4</v>
      </c>
      <c r="I148" s="111">
        <f>I149+I150</f>
        <v>3962.8152611760001</v>
      </c>
      <c r="J148" s="111">
        <f>J149+J150</f>
        <v>239.85484343999991</v>
      </c>
      <c r="K148" s="111">
        <f>K149+K150</f>
        <v>106.30659288</v>
      </c>
      <c r="L148" s="47"/>
      <c r="M148" s="52"/>
      <c r="P148" s="115"/>
    </row>
    <row r="149" spans="3:19" ht="15" customHeight="1">
      <c r="C149" s="34"/>
      <c r="D149" s="107" t="s">
        <v>471</v>
      </c>
      <c r="E149" s="69" t="s">
        <v>168</v>
      </c>
      <c r="F149" s="68" t="s">
        <v>331</v>
      </c>
      <c r="G149" s="90">
        <f t="shared" si="1"/>
        <v>3505.7952582960002</v>
      </c>
      <c r="H149" s="95"/>
      <c r="I149" s="95">
        <f>I127*51778.46/1000*1.2</f>
        <v>3505.7952582960002</v>
      </c>
      <c r="J149" s="95"/>
      <c r="K149" s="95"/>
      <c r="L149" s="47"/>
      <c r="M149" s="52"/>
      <c r="P149" s="115" t="s">
        <v>329</v>
      </c>
    </row>
    <row r="150" spans="3:19" ht="15" customHeight="1">
      <c r="C150" s="34"/>
      <c r="D150" s="107" t="s">
        <v>472</v>
      </c>
      <c r="E150" s="69" t="s">
        <v>169</v>
      </c>
      <c r="F150" s="68" t="s">
        <v>332</v>
      </c>
      <c r="G150" s="90">
        <f t="shared" si="1"/>
        <v>803.18242079999993</v>
      </c>
      <c r="H150" s="95">
        <f>H128*81.8/1000*1.2</f>
        <v>9.8159999999999979E-4</v>
      </c>
      <c r="I150" s="95">
        <f>I128*81.8/1000*1.2</f>
        <v>457.02000287999999</v>
      </c>
      <c r="J150" s="95">
        <f>J128*81.8/1000*1.2</f>
        <v>239.85484343999991</v>
      </c>
      <c r="K150" s="95">
        <f>K128*81.8/1000*1.2</f>
        <v>106.30659288</v>
      </c>
      <c r="L150" s="47"/>
      <c r="M150" s="52"/>
      <c r="P150" s="115" t="s">
        <v>330</v>
      </c>
    </row>
    <row r="151" spans="3:19">
      <c r="D151" s="42"/>
      <c r="E151" s="48"/>
      <c r="F151" s="48"/>
      <c r="G151" s="48"/>
      <c r="H151" s="48"/>
      <c r="I151" s="48"/>
      <c r="J151" s="48"/>
      <c r="K151" s="40"/>
      <c r="L151" s="40"/>
      <c r="M151" s="40"/>
      <c r="N151" s="40"/>
      <c r="O151" s="40"/>
      <c r="P151" s="40"/>
      <c r="Q151" s="40"/>
      <c r="R151" s="24"/>
      <c r="S151" s="24"/>
    </row>
    <row r="152" spans="3:19" ht="12.75" hidden="1">
      <c r="E152" s="52" t="s">
        <v>204</v>
      </c>
      <c r="F152" s="180" t="e">
        <f>IF(#REF!="","",#REF!)</f>
        <v>#REF!</v>
      </c>
      <c r="G152" s="180"/>
      <c r="H152" s="53"/>
      <c r="I152" s="180" t="e">
        <f>IF(#REF!="","",#REF!)</f>
        <v>#REF!</v>
      </c>
      <c r="J152" s="180"/>
      <c r="K152" s="180"/>
      <c r="L152" s="53"/>
      <c r="M152" s="55"/>
      <c r="N152" s="55"/>
      <c r="O152" s="54"/>
      <c r="P152" s="40"/>
      <c r="Q152" s="40"/>
      <c r="R152" s="24"/>
      <c r="S152" s="24"/>
    </row>
    <row r="153" spans="3:19" ht="12.75" hidden="1">
      <c r="E153" s="56" t="s">
        <v>205</v>
      </c>
      <c r="F153" s="181" t="s">
        <v>176</v>
      </c>
      <c r="G153" s="181"/>
      <c r="H153" s="54"/>
      <c r="I153" s="181" t="s">
        <v>174</v>
      </c>
      <c r="J153" s="181"/>
      <c r="K153" s="181"/>
      <c r="L153" s="54"/>
      <c r="M153" s="181" t="s">
        <v>175</v>
      </c>
      <c r="N153" s="181"/>
      <c r="O153" s="52"/>
      <c r="P153" s="40"/>
      <c r="Q153" s="40"/>
      <c r="R153" s="24"/>
      <c r="S153" s="24"/>
    </row>
    <row r="154" spans="3:19" ht="12.75" hidden="1">
      <c r="E154" s="56" t="s">
        <v>206</v>
      </c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40"/>
      <c r="Q154" s="40"/>
      <c r="R154" s="24"/>
      <c r="S154" s="24"/>
    </row>
    <row r="155" spans="3:19" ht="12.75" hidden="1">
      <c r="E155" s="56" t="s">
        <v>207</v>
      </c>
      <c r="F155" s="180" t="e">
        <f>IF(#REF!="","",#REF!)</f>
        <v>#REF!</v>
      </c>
      <c r="G155" s="180"/>
      <c r="H155" s="180"/>
      <c r="I155" s="52"/>
      <c r="J155" s="56" t="s">
        <v>177</v>
      </c>
      <c r="K155" s="102"/>
      <c r="L155" s="52"/>
      <c r="M155" s="52"/>
      <c r="N155" s="52"/>
      <c r="O155" s="52"/>
      <c r="P155" s="40"/>
      <c r="Q155" s="40"/>
      <c r="R155" s="24"/>
      <c r="S155" s="24"/>
    </row>
    <row r="156" spans="3:19" ht="12.75" hidden="1">
      <c r="E156" s="52" t="s">
        <v>208</v>
      </c>
      <c r="F156" s="182" t="s">
        <v>178</v>
      </c>
      <c r="G156" s="182"/>
      <c r="H156" s="182"/>
      <c r="I156" s="52"/>
      <c r="J156" s="57" t="s">
        <v>179</v>
      </c>
      <c r="K156" s="57"/>
      <c r="L156" s="52"/>
      <c r="M156" s="52"/>
      <c r="N156" s="52"/>
      <c r="O156" s="52"/>
      <c r="P156" s="40"/>
      <c r="Q156" s="40"/>
      <c r="R156" s="24"/>
      <c r="S156" s="24"/>
    </row>
    <row r="157" spans="3:19"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24"/>
      <c r="S157" s="24"/>
    </row>
    <row r="158" spans="3:19"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24"/>
      <c r="S158" s="24"/>
    </row>
    <row r="159" spans="3:19"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24"/>
      <c r="S159" s="24"/>
    </row>
    <row r="160" spans="3:19"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24"/>
      <c r="S160" s="24"/>
    </row>
    <row r="161" spans="5:19"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24"/>
      <c r="S161" s="24"/>
    </row>
    <row r="162" spans="5:19"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24"/>
      <c r="S162" s="24"/>
    </row>
    <row r="163" spans="5:19"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24"/>
      <c r="S163" s="24"/>
    </row>
    <row r="164" spans="5:19"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24"/>
      <c r="S164" s="24"/>
    </row>
    <row r="165" spans="5:19"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24"/>
      <c r="S165" s="24"/>
    </row>
    <row r="166" spans="5:19"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24"/>
      <c r="S166" s="24"/>
    </row>
    <row r="167" spans="5:19"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24"/>
      <c r="S167" s="24"/>
    </row>
    <row r="168" spans="5:19"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24"/>
      <c r="S168" s="24"/>
    </row>
    <row r="169" spans="5:19"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24"/>
      <c r="S169" s="24"/>
    </row>
    <row r="170" spans="5:19"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24"/>
      <c r="S170" s="24"/>
    </row>
    <row r="171" spans="5:19"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24"/>
      <c r="S171" s="24"/>
    </row>
    <row r="172" spans="5:19"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24"/>
      <c r="S172" s="24"/>
    </row>
    <row r="173" spans="5:19"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24"/>
      <c r="S173" s="24"/>
    </row>
    <row r="174" spans="5:19"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24"/>
      <c r="S174" s="24"/>
    </row>
    <row r="175" spans="5:19"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24"/>
      <c r="S175" s="24"/>
    </row>
    <row r="176" spans="5:19"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24"/>
      <c r="S176" s="24"/>
    </row>
    <row r="177" spans="5:19"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24"/>
      <c r="S177" s="24"/>
    </row>
    <row r="178" spans="5:19"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24"/>
      <c r="S178" s="24"/>
    </row>
    <row r="179" spans="5:19"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24"/>
      <c r="S179" s="24"/>
    </row>
    <row r="180" spans="5:19"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24"/>
      <c r="S180" s="24"/>
    </row>
    <row r="181" spans="5:19"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24"/>
      <c r="S181" s="24"/>
    </row>
    <row r="182" spans="5:19"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</row>
    <row r="183" spans="5:19"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</row>
    <row r="184" spans="5:19"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</row>
    <row r="185" spans="5:19"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</row>
  </sheetData>
  <sheetProtection password="9154" sheet="1" objects="1" scenarios="1" formatColumns="0" formatRows="0" autoFilter="0"/>
  <mergeCells count="18">
    <mergeCell ref="F153:G153"/>
    <mergeCell ref="I153:K153"/>
    <mergeCell ref="M153:N153"/>
    <mergeCell ref="F155:H155"/>
    <mergeCell ref="F156:H156"/>
    <mergeCell ref="D92:K92"/>
    <mergeCell ref="D96:K96"/>
    <mergeCell ref="D129:K129"/>
    <mergeCell ref="F152:G152"/>
    <mergeCell ref="I152:K152"/>
    <mergeCell ref="D8:E8"/>
    <mergeCell ref="D11:D12"/>
    <mergeCell ref="D14:K14"/>
    <mergeCell ref="D53:K53"/>
    <mergeCell ref="E11:E12"/>
    <mergeCell ref="F11:F12"/>
    <mergeCell ref="G11:G12"/>
    <mergeCell ref="H11:K11"/>
  </mergeCells>
  <phoneticPr fontId="0" type="noConversion"/>
  <dataValidations count="2">
    <dataValidation type="decimal" allowBlank="1" showErrorMessage="1" errorTitle="Ошибка" error="Допускается ввод только действительных чисел!" sqref="G62:K65 G93:K95 G67:K81 G15:K18 G83:K91 G97:K128 G23:K26 G44:K52 G28:K42 G130:K150 G59:K60 G20:K21 G54:K57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42 E25:E26 E81 E64:E65"/>
  </dataValidations>
  <printOptions horizontalCentered="1"/>
  <pageMargins left="0.23622047244094491" right="0.23622047244094491" top="0.23622047244094491" bottom="0.23622047244094491" header="0.23622047244094491" footer="0.23622047244094491"/>
  <pageSetup paperSize="9" scale="69" fitToHeight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FindEGRUL">
    <tabColor indexed="47"/>
  </sheetPr>
  <dimension ref="A1"/>
  <sheetViews>
    <sheetView showGridLines="0" showRowColHeaders="0" workbookViewId="0">
      <selection activeCell="K19" sqref="K19"/>
    </sheetView>
  </sheetViews>
  <sheetFormatPr defaultRowHeight="12.75"/>
  <cols>
    <col min="1" max="16384" width="9.140625" style="80"/>
  </cols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zoomScaleNormal="85" workbookViewId="0">
      <selection activeCell="K22" sqref="K22"/>
    </sheetView>
  </sheetViews>
  <sheetFormatPr defaultRowHeight="11.25"/>
  <cols>
    <col min="1" max="16384" width="9.140625" style="5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"/>
  <sheetViews>
    <sheetView showGridLines="0" zoomScaleNormal="85" workbookViewId="0"/>
  </sheetViews>
  <sheetFormatPr defaultRowHeight="11.25"/>
  <sheetData/>
  <sheetProtection formatColumns="0" formatRows="0"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>
      <selection activeCell="K24" sqref="K24"/>
    </sheetView>
  </sheetViews>
  <sheetFormatPr defaultRowHeight="15"/>
  <cols>
    <col min="1" max="16384" width="9.140625" style="4"/>
  </cols>
  <sheetData/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>
      <selection activeCell="J28" sqref="J28"/>
    </sheetView>
  </sheetViews>
  <sheetFormatPr defaultColWidth="9.140625" defaultRowHeight="11.25"/>
  <cols>
    <col min="1" max="16384" width="9.140625" style="41"/>
  </cols>
  <sheetData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C185"/>
  <sheetViews>
    <sheetView topLeftCell="C111" workbookViewId="0">
      <selection activeCell="D129" sqref="D129:K129"/>
    </sheetView>
  </sheetViews>
  <sheetFormatPr defaultRowHeight="11.25"/>
  <cols>
    <col min="1" max="2" width="9.140625" style="125" hidden="1" customWidth="1"/>
    <col min="3" max="3" width="4.140625" style="125" customWidth="1"/>
    <col min="4" max="4" width="9.140625" style="125" customWidth="1"/>
    <col min="5" max="5" width="69" style="125" customWidth="1"/>
    <col min="6" max="6" width="6.7109375" style="125" customWidth="1"/>
    <col min="7" max="11" width="15.7109375" style="125" customWidth="1"/>
    <col min="12" max="12" width="6.7109375" style="125" customWidth="1"/>
    <col min="13" max="16" width="15.7109375" style="125" customWidth="1"/>
    <col min="17" max="35" width="11.7109375" style="125" customWidth="1"/>
    <col min="36" max="16384" width="9.140625" style="125"/>
  </cols>
  <sheetData>
    <row r="1" spans="1:81" hidden="1">
      <c r="S1" s="126"/>
      <c r="T1" s="126"/>
      <c r="U1" s="126"/>
      <c r="V1" s="126"/>
      <c r="Y1" s="126"/>
      <c r="AA1" s="126"/>
      <c r="AN1" s="126"/>
      <c r="AO1" s="126"/>
      <c r="AP1" s="126"/>
      <c r="BC1" s="126"/>
      <c r="BF1" s="126"/>
      <c r="BG1" s="126"/>
      <c r="BI1" s="126"/>
      <c r="BM1" s="126"/>
      <c r="BO1" s="126"/>
      <c r="BX1" s="126"/>
      <c r="BY1" s="126"/>
      <c r="CC1" s="126"/>
    </row>
    <row r="2" spans="1:81" hidden="1"/>
    <row r="3" spans="1:81" hidden="1"/>
    <row r="4" spans="1:81" hidden="1">
      <c r="A4" s="127"/>
      <c r="F4" s="128"/>
      <c r="G4" s="128"/>
      <c r="H4" s="128"/>
      <c r="I4" s="128"/>
      <c r="J4" s="128"/>
      <c r="K4" s="128"/>
      <c r="M4" s="128"/>
      <c r="N4" s="128"/>
      <c r="O4" s="128"/>
      <c r="P4" s="128"/>
      <c r="Q4" s="128"/>
    </row>
    <row r="5" spans="1:81" hidden="1">
      <c r="A5" s="129"/>
      <c r="F5" s="125" t="s">
        <v>142</v>
      </c>
      <c r="G5" s="125" t="s">
        <v>143</v>
      </c>
      <c r="H5" s="125" t="s">
        <v>144</v>
      </c>
      <c r="I5" s="125" t="s">
        <v>145</v>
      </c>
      <c r="J5" s="125" t="s">
        <v>146</v>
      </c>
      <c r="K5" s="125" t="s">
        <v>147</v>
      </c>
      <c r="L5" s="125" t="s">
        <v>148</v>
      </c>
      <c r="M5" s="125" t="s">
        <v>149</v>
      </c>
      <c r="N5" s="125" t="s">
        <v>149</v>
      </c>
      <c r="O5" s="125" t="s">
        <v>150</v>
      </c>
      <c r="P5" s="125" t="s">
        <v>151</v>
      </c>
      <c r="Q5" s="125" t="s">
        <v>152</v>
      </c>
    </row>
    <row r="6" spans="1:81" hidden="1">
      <c r="A6" s="129"/>
    </row>
    <row r="7" spans="1:81" ht="12" customHeight="1">
      <c r="A7" s="129"/>
      <c r="D7" s="130"/>
      <c r="E7" s="130"/>
      <c r="F7" s="130"/>
      <c r="G7" s="130"/>
      <c r="H7" s="130"/>
      <c r="I7" s="130"/>
      <c r="J7" s="130"/>
      <c r="K7" s="131"/>
      <c r="Q7" s="132"/>
    </row>
    <row r="8" spans="1:81" ht="22.5" customHeight="1">
      <c r="A8" s="129"/>
      <c r="D8" s="183" t="s">
        <v>153</v>
      </c>
      <c r="E8" s="18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</row>
    <row r="9" spans="1:81" hidden="1">
      <c r="A9" s="129"/>
      <c r="D9" s="134" t="e">
        <f>IF(org="","Не определено",org)</f>
        <v>#REF!</v>
      </c>
      <c r="E9" s="134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</row>
    <row r="10" spans="1:81" ht="12" customHeight="1">
      <c r="D10" s="135"/>
      <c r="E10" s="135"/>
      <c r="F10" s="130"/>
      <c r="G10" s="130"/>
      <c r="H10" s="130"/>
      <c r="I10" s="130"/>
      <c r="K10" s="136" t="s">
        <v>132</v>
      </c>
    </row>
    <row r="11" spans="1:81" ht="15" customHeight="1">
      <c r="C11" s="130"/>
      <c r="D11" s="172" t="s">
        <v>140</v>
      </c>
      <c r="E11" s="185" t="s">
        <v>154</v>
      </c>
      <c r="F11" s="185" t="s">
        <v>133</v>
      </c>
      <c r="G11" s="185" t="s">
        <v>155</v>
      </c>
      <c r="H11" s="185" t="s">
        <v>156</v>
      </c>
      <c r="I11" s="185"/>
      <c r="J11" s="185"/>
      <c r="K11" s="187"/>
      <c r="L11" s="137"/>
    </row>
    <row r="12" spans="1:81" ht="15" customHeight="1">
      <c r="C12" s="130"/>
      <c r="D12" s="184"/>
      <c r="E12" s="186"/>
      <c r="F12" s="186"/>
      <c r="G12" s="186"/>
      <c r="H12" s="138" t="s">
        <v>134</v>
      </c>
      <c r="I12" s="138" t="s">
        <v>135</v>
      </c>
      <c r="J12" s="138" t="s">
        <v>136</v>
      </c>
      <c r="K12" s="139" t="s">
        <v>137</v>
      </c>
      <c r="L12" s="137"/>
    </row>
    <row r="13" spans="1:81" ht="12" customHeight="1">
      <c r="D13" s="25">
        <v>0</v>
      </c>
      <c r="E13" s="25">
        <v>1</v>
      </c>
      <c r="F13" s="25">
        <v>2</v>
      </c>
      <c r="G13" s="25">
        <v>3</v>
      </c>
      <c r="H13" s="25">
        <v>4</v>
      </c>
      <c r="I13" s="25">
        <v>5</v>
      </c>
      <c r="J13" s="25">
        <v>6</v>
      </c>
      <c r="K13" s="25">
        <v>7</v>
      </c>
    </row>
    <row r="14" spans="1:81" s="140" customFormat="1" ht="15" customHeight="1">
      <c r="C14" s="141"/>
      <c r="D14" s="174" t="s">
        <v>200</v>
      </c>
      <c r="E14" s="175"/>
      <c r="F14" s="175"/>
      <c r="G14" s="175"/>
      <c r="H14" s="175"/>
      <c r="I14" s="175"/>
      <c r="J14" s="175"/>
      <c r="K14" s="176"/>
      <c r="L14" s="142"/>
    </row>
    <row r="15" spans="1:81" s="140" customFormat="1" ht="15" customHeight="1">
      <c r="C15" s="141"/>
      <c r="D15" s="106" t="s">
        <v>370</v>
      </c>
      <c r="E15" s="88" t="s">
        <v>498</v>
      </c>
      <c r="F15" s="68">
        <v>10</v>
      </c>
      <c r="G15" s="143">
        <f>SUM(H15:K15)</f>
        <v>7013.9030000000002</v>
      </c>
      <c r="H15" s="143">
        <f>H16+H17+H20+H23</f>
        <v>888.42200000000003</v>
      </c>
      <c r="I15" s="143">
        <f>I16+I17+I20+I23</f>
        <v>4711.2240000000002</v>
      </c>
      <c r="J15" s="143">
        <f>J16+J17+J20+J23</f>
        <v>1414.2569999999998</v>
      </c>
      <c r="K15" s="143">
        <f>K16+K17+K20+K23</f>
        <v>0</v>
      </c>
      <c r="L15" s="142"/>
      <c r="M15" s="52"/>
      <c r="P15" s="115">
        <v>10</v>
      </c>
    </row>
    <row r="16" spans="1:81" s="140" customFormat="1" ht="15" customHeight="1">
      <c r="C16" s="141"/>
      <c r="D16" s="106" t="s">
        <v>371</v>
      </c>
      <c r="E16" s="67" t="s">
        <v>210</v>
      </c>
      <c r="F16" s="68">
        <v>20</v>
      </c>
      <c r="G16" s="143">
        <f t="shared" ref="G16:G136" si="0">SUM(H16:K16)</f>
        <v>0</v>
      </c>
      <c r="H16" s="122"/>
      <c r="I16" s="122"/>
      <c r="J16" s="122"/>
      <c r="K16" s="122"/>
      <c r="L16" s="142"/>
      <c r="M16" s="52"/>
      <c r="P16" s="115">
        <v>20</v>
      </c>
    </row>
    <row r="17" spans="3:16" s="140" customFormat="1" ht="12.75">
      <c r="C17" s="141"/>
      <c r="D17" s="106" t="s">
        <v>372</v>
      </c>
      <c r="E17" s="67" t="s">
        <v>499</v>
      </c>
      <c r="F17" s="68">
        <v>30</v>
      </c>
      <c r="G17" s="143">
        <f t="shared" si="0"/>
        <v>0</v>
      </c>
      <c r="H17" s="143">
        <f>SUM(H18:H19)</f>
        <v>0</v>
      </c>
      <c r="I17" s="143">
        <f>SUM(I18:I19)</f>
        <v>0</v>
      </c>
      <c r="J17" s="143">
        <f>SUM(J18:J19)</f>
        <v>0</v>
      </c>
      <c r="K17" s="143">
        <f>SUM(K18:K19)</f>
        <v>0</v>
      </c>
      <c r="L17" s="142"/>
      <c r="M17" s="52"/>
      <c r="P17" s="115">
        <v>30</v>
      </c>
    </row>
    <row r="18" spans="3:16" s="140" customFormat="1" ht="12.75">
      <c r="C18" s="141"/>
      <c r="D18" s="113" t="s">
        <v>480</v>
      </c>
      <c r="E18" s="144"/>
      <c r="F18" s="84" t="s">
        <v>336</v>
      </c>
      <c r="G18" s="145"/>
      <c r="H18" s="145"/>
      <c r="I18" s="145"/>
      <c r="J18" s="145"/>
      <c r="K18" s="145"/>
      <c r="L18" s="142"/>
      <c r="M18" s="52"/>
      <c r="P18" s="115"/>
    </row>
    <row r="19" spans="3:16" s="140" customFormat="1" ht="12.75">
      <c r="C19" s="141"/>
      <c r="D19" s="108"/>
      <c r="E19" s="104" t="s">
        <v>334</v>
      </c>
      <c r="F19" s="73"/>
      <c r="G19" s="73"/>
      <c r="H19" s="73"/>
      <c r="I19" s="73"/>
      <c r="J19" s="73"/>
      <c r="K19" s="74"/>
      <c r="L19" s="142"/>
      <c r="M19" s="52"/>
      <c r="P19" s="116"/>
    </row>
    <row r="20" spans="3:16" s="140" customFormat="1" ht="12.75">
      <c r="C20" s="141"/>
      <c r="D20" s="106" t="s">
        <v>373</v>
      </c>
      <c r="E20" s="67" t="s">
        <v>500</v>
      </c>
      <c r="F20" s="68" t="s">
        <v>211</v>
      </c>
      <c r="G20" s="143">
        <f t="shared" si="0"/>
        <v>0</v>
      </c>
      <c r="H20" s="143">
        <f>SUM(H21:H22)</f>
        <v>0</v>
      </c>
      <c r="I20" s="143">
        <f>SUM(I21:I22)</f>
        <v>0</v>
      </c>
      <c r="J20" s="143">
        <f>SUM(J21:J22)</f>
        <v>0</v>
      </c>
      <c r="K20" s="143">
        <f>SUM(K21:K22)</f>
        <v>0</v>
      </c>
      <c r="L20" s="142"/>
      <c r="M20" s="52"/>
      <c r="P20" s="116"/>
    </row>
    <row r="21" spans="3:16" s="140" customFormat="1" ht="12.75">
      <c r="C21" s="141"/>
      <c r="D21" s="113" t="s">
        <v>481</v>
      </c>
      <c r="E21" s="144"/>
      <c r="F21" s="84" t="s">
        <v>211</v>
      </c>
      <c r="G21" s="145"/>
      <c r="H21" s="145"/>
      <c r="I21" s="145"/>
      <c r="J21" s="145"/>
      <c r="K21" s="145"/>
      <c r="L21" s="142"/>
      <c r="M21" s="52"/>
      <c r="P21" s="115"/>
    </row>
    <row r="22" spans="3:16" s="140" customFormat="1" ht="12.75">
      <c r="C22" s="141"/>
      <c r="D22" s="108"/>
      <c r="E22" s="104" t="s">
        <v>334</v>
      </c>
      <c r="F22" s="73"/>
      <c r="G22" s="73"/>
      <c r="H22" s="73"/>
      <c r="I22" s="73"/>
      <c r="J22" s="73"/>
      <c r="K22" s="74"/>
      <c r="L22" s="142"/>
      <c r="M22" s="52"/>
      <c r="P22" s="116"/>
    </row>
    <row r="23" spans="3:16" s="140" customFormat="1" ht="12.75">
      <c r="C23" s="141"/>
      <c r="D23" s="106" t="s">
        <v>374</v>
      </c>
      <c r="E23" s="67" t="s">
        <v>501</v>
      </c>
      <c r="F23" s="68" t="s">
        <v>212</v>
      </c>
      <c r="G23" s="143">
        <f t="shared" si="0"/>
        <v>7013.9030000000002</v>
      </c>
      <c r="H23" s="143">
        <f>SUM(H24:H27)</f>
        <v>888.42200000000003</v>
      </c>
      <c r="I23" s="143">
        <f>SUM(I24:I27)</f>
        <v>4711.2240000000002</v>
      </c>
      <c r="J23" s="143">
        <f>SUM(J24:J27)</f>
        <v>1414.2569999999998</v>
      </c>
      <c r="K23" s="143">
        <f>SUM(K24:K27)</f>
        <v>0</v>
      </c>
      <c r="L23" s="142"/>
      <c r="M23" s="52"/>
      <c r="P23" s="115">
        <v>40</v>
      </c>
    </row>
    <row r="24" spans="3:16" s="140" customFormat="1" ht="12.75">
      <c r="C24" s="141"/>
      <c r="D24" s="113" t="s">
        <v>482</v>
      </c>
      <c r="E24" s="144"/>
      <c r="F24" s="84" t="s">
        <v>212</v>
      </c>
      <c r="G24" s="145"/>
      <c r="H24" s="145"/>
      <c r="I24" s="145"/>
      <c r="J24" s="145"/>
      <c r="K24" s="145"/>
      <c r="L24" s="142"/>
      <c r="M24" s="52"/>
      <c r="P24" s="115"/>
    </row>
    <row r="25" spans="3:16" s="140" customFormat="1" ht="14.25">
      <c r="C25" s="121" t="s">
        <v>0</v>
      </c>
      <c r="D25" s="146" t="s">
        <v>1874</v>
      </c>
      <c r="E25" s="82" t="s">
        <v>2047</v>
      </c>
      <c r="F25" s="79">
        <v>431</v>
      </c>
      <c r="G25" s="147">
        <f>SUM(H25:K25)</f>
        <v>5985.0220000000008</v>
      </c>
      <c r="H25" s="148">
        <v>888.42200000000003</v>
      </c>
      <c r="I25" s="148">
        <v>4711.2240000000002</v>
      </c>
      <c r="J25" s="148">
        <v>385.37599999999998</v>
      </c>
      <c r="K25" s="149"/>
      <c r="L25" s="142"/>
      <c r="M25" s="85" t="s">
        <v>1842</v>
      </c>
      <c r="N25" s="86" t="s">
        <v>1438</v>
      </c>
      <c r="O25" s="86" t="s">
        <v>1841</v>
      </c>
    </row>
    <row r="26" spans="3:16" s="140" customFormat="1" ht="14.25">
      <c r="C26" s="121" t="s">
        <v>0</v>
      </c>
      <c r="D26" s="146" t="s">
        <v>2072</v>
      </c>
      <c r="E26" s="82" t="s">
        <v>1467</v>
      </c>
      <c r="F26" s="79">
        <v>432</v>
      </c>
      <c r="G26" s="147">
        <f>SUM(H26:K26)</f>
        <v>1028.8809999999999</v>
      </c>
      <c r="H26" s="148"/>
      <c r="I26" s="148"/>
      <c r="J26" s="148">
        <f>294.826+734.055</f>
        <v>1028.8809999999999</v>
      </c>
      <c r="K26" s="149"/>
      <c r="L26" s="142"/>
      <c r="M26" s="85" t="s">
        <v>1468</v>
      </c>
      <c r="N26" s="86" t="s">
        <v>1438</v>
      </c>
      <c r="O26" s="86" t="s">
        <v>1466</v>
      </c>
    </row>
    <row r="27" spans="3:16" s="140" customFormat="1" ht="12.75">
      <c r="C27" s="141"/>
      <c r="D27" s="108"/>
      <c r="E27" s="104" t="s">
        <v>334</v>
      </c>
      <c r="F27" s="73"/>
      <c r="G27" s="73"/>
      <c r="H27" s="73"/>
      <c r="I27" s="73"/>
      <c r="J27" s="73"/>
      <c r="K27" s="74"/>
      <c r="L27" s="142"/>
      <c r="M27" s="52"/>
      <c r="P27" s="115"/>
    </row>
    <row r="28" spans="3:16" s="140" customFormat="1" ht="12.75">
      <c r="C28" s="141"/>
      <c r="D28" s="106" t="s">
        <v>375</v>
      </c>
      <c r="E28" s="88" t="s">
        <v>157</v>
      </c>
      <c r="F28" s="68" t="s">
        <v>213</v>
      </c>
      <c r="G28" s="143">
        <f t="shared" si="0"/>
        <v>2671.4629999999997</v>
      </c>
      <c r="H28" s="143">
        <f>H30+H31+H32</f>
        <v>0</v>
      </c>
      <c r="I28" s="143">
        <f>I29+I31+I32</f>
        <v>0</v>
      </c>
      <c r="J28" s="143">
        <f>J29+J30+J32</f>
        <v>1731.2740000000001</v>
      </c>
      <c r="K28" s="143">
        <f>K29+K30+K31</f>
        <v>940.18899999999985</v>
      </c>
      <c r="L28" s="142"/>
      <c r="M28" s="52"/>
      <c r="P28" s="115">
        <v>50</v>
      </c>
    </row>
    <row r="29" spans="3:16" s="140" customFormat="1" ht="12.75">
      <c r="C29" s="141"/>
      <c r="D29" s="106" t="s">
        <v>376</v>
      </c>
      <c r="E29" s="67" t="s">
        <v>134</v>
      </c>
      <c r="F29" s="68" t="s">
        <v>214</v>
      </c>
      <c r="G29" s="143">
        <f t="shared" si="0"/>
        <v>888.35199999999998</v>
      </c>
      <c r="H29" s="150"/>
      <c r="I29" s="122"/>
      <c r="J29" s="122">
        <f>H45</f>
        <v>888.35199999999998</v>
      </c>
      <c r="K29" s="122"/>
      <c r="L29" s="142"/>
      <c r="M29" s="52"/>
      <c r="P29" s="115">
        <v>60</v>
      </c>
    </row>
    <row r="30" spans="3:16" s="140" customFormat="1" ht="12.75">
      <c r="C30" s="141"/>
      <c r="D30" s="106" t="s">
        <v>377</v>
      </c>
      <c r="E30" s="67" t="s">
        <v>135</v>
      </c>
      <c r="F30" s="68" t="s">
        <v>215</v>
      </c>
      <c r="G30" s="143">
        <f t="shared" si="0"/>
        <v>842.92200000000014</v>
      </c>
      <c r="H30" s="122"/>
      <c r="I30" s="150"/>
      <c r="J30" s="122">
        <f>I25-I34-I48</f>
        <v>842.92200000000014</v>
      </c>
      <c r="K30" s="122"/>
      <c r="L30" s="142"/>
      <c r="M30" s="52"/>
      <c r="P30" s="115">
        <v>70</v>
      </c>
    </row>
    <row r="31" spans="3:16" s="140" customFormat="1" ht="12.75">
      <c r="C31" s="141"/>
      <c r="D31" s="106" t="s">
        <v>378</v>
      </c>
      <c r="E31" s="67" t="s">
        <v>136</v>
      </c>
      <c r="F31" s="68" t="s">
        <v>216</v>
      </c>
      <c r="G31" s="143">
        <f t="shared" si="0"/>
        <v>940.18899999999985</v>
      </c>
      <c r="H31" s="122"/>
      <c r="I31" s="122"/>
      <c r="J31" s="150"/>
      <c r="K31" s="122">
        <f>J23+J28+J17-J48-J34</f>
        <v>940.18899999999985</v>
      </c>
      <c r="L31" s="142"/>
      <c r="M31" s="52"/>
      <c r="P31" s="115">
        <v>80</v>
      </c>
    </row>
    <row r="32" spans="3:16" s="140" customFormat="1" ht="12.75">
      <c r="C32" s="141"/>
      <c r="D32" s="106" t="s">
        <v>379</v>
      </c>
      <c r="E32" s="67" t="s">
        <v>158</v>
      </c>
      <c r="F32" s="68" t="s">
        <v>217</v>
      </c>
      <c r="G32" s="143">
        <f t="shared" si="0"/>
        <v>0</v>
      </c>
      <c r="H32" s="122"/>
      <c r="I32" s="122"/>
      <c r="J32" s="122"/>
      <c r="K32" s="150"/>
      <c r="L32" s="142"/>
      <c r="M32" s="52"/>
      <c r="P32" s="115">
        <v>90</v>
      </c>
    </row>
    <row r="33" spans="3:16" s="140" customFormat="1" ht="12.75">
      <c r="C33" s="141"/>
      <c r="D33" s="106" t="s">
        <v>380</v>
      </c>
      <c r="E33" s="89" t="s">
        <v>161</v>
      </c>
      <c r="F33" s="68" t="s">
        <v>218</v>
      </c>
      <c r="G33" s="143">
        <f t="shared" si="0"/>
        <v>0</v>
      </c>
      <c r="H33" s="122"/>
      <c r="I33" s="122"/>
      <c r="J33" s="122"/>
      <c r="K33" s="122"/>
      <c r="L33" s="142"/>
      <c r="M33" s="52"/>
      <c r="P33" s="115"/>
    </row>
    <row r="34" spans="3:16" s="140" customFormat="1" ht="12.75">
      <c r="C34" s="141"/>
      <c r="D34" s="106" t="s">
        <v>381</v>
      </c>
      <c r="E34" s="88" t="s">
        <v>502</v>
      </c>
      <c r="F34" s="109" t="s">
        <v>219</v>
      </c>
      <c r="G34" s="143">
        <f t="shared" si="0"/>
        <v>6881.5380000000005</v>
      </c>
      <c r="H34" s="143">
        <f>H35+H37+H40+H44</f>
        <v>0</v>
      </c>
      <c r="I34" s="143">
        <f>I35+I37+I40+I44</f>
        <v>3804.817</v>
      </c>
      <c r="J34" s="143">
        <f>J35+J37+J40+J44</f>
        <v>2152.8130000000001</v>
      </c>
      <c r="K34" s="143">
        <f>K35+K37+K40+K44</f>
        <v>923.90800000000002</v>
      </c>
      <c r="L34" s="142"/>
      <c r="M34" s="52"/>
      <c r="P34" s="115">
        <v>100</v>
      </c>
    </row>
    <row r="35" spans="3:16" s="140" customFormat="1" ht="22.5">
      <c r="C35" s="141"/>
      <c r="D35" s="106" t="s">
        <v>382</v>
      </c>
      <c r="E35" s="67" t="s">
        <v>503</v>
      </c>
      <c r="F35" s="68" t="s">
        <v>220</v>
      </c>
      <c r="G35" s="143">
        <f t="shared" si="0"/>
        <v>0</v>
      </c>
      <c r="H35" s="122"/>
      <c r="I35" s="122"/>
      <c r="J35" s="122"/>
      <c r="K35" s="122"/>
      <c r="L35" s="142"/>
      <c r="M35" s="52"/>
      <c r="P35" s="115"/>
    </row>
    <row r="36" spans="3:16" s="140" customFormat="1" ht="12.75">
      <c r="C36" s="141"/>
      <c r="D36" s="106" t="s">
        <v>486</v>
      </c>
      <c r="E36" s="69" t="s">
        <v>476</v>
      </c>
      <c r="F36" s="68" t="s">
        <v>223</v>
      </c>
      <c r="G36" s="143">
        <f t="shared" si="0"/>
        <v>0</v>
      </c>
      <c r="H36" s="122"/>
      <c r="I36" s="122"/>
      <c r="J36" s="122"/>
      <c r="K36" s="122"/>
      <c r="L36" s="142"/>
      <c r="M36" s="52"/>
      <c r="P36" s="115"/>
    </row>
    <row r="37" spans="3:16" s="140" customFormat="1" ht="12.75">
      <c r="C37" s="141"/>
      <c r="D37" s="106" t="s">
        <v>383</v>
      </c>
      <c r="E37" s="67" t="s">
        <v>221</v>
      </c>
      <c r="F37" s="68" t="s">
        <v>224</v>
      </c>
      <c r="G37" s="143">
        <f t="shared" si="0"/>
        <v>3705.3380000000002</v>
      </c>
      <c r="H37" s="122">
        <v>0</v>
      </c>
      <c r="I37" s="122">
        <f>3804.817-I42</f>
        <v>628.61700000000019</v>
      </c>
      <c r="J37" s="122">
        <f>1426.684+726.129</f>
        <v>2152.8130000000001</v>
      </c>
      <c r="K37" s="122">
        <v>923.90800000000002</v>
      </c>
      <c r="L37" s="142"/>
      <c r="M37" s="52"/>
      <c r="P37" s="115"/>
    </row>
    <row r="38" spans="3:16" s="140" customFormat="1" ht="12.75">
      <c r="C38" s="141"/>
      <c r="D38" s="106" t="s">
        <v>487</v>
      </c>
      <c r="E38" s="69" t="s">
        <v>504</v>
      </c>
      <c r="F38" s="68" t="s">
        <v>225</v>
      </c>
      <c r="G38" s="143">
        <f t="shared" si="0"/>
        <v>0</v>
      </c>
      <c r="H38" s="122"/>
      <c r="I38" s="122"/>
      <c r="J38" s="122"/>
      <c r="K38" s="122"/>
      <c r="L38" s="142"/>
      <c r="M38" s="52"/>
      <c r="P38" s="115"/>
    </row>
    <row r="39" spans="3:16" s="140" customFormat="1" ht="12.75">
      <c r="C39" s="141"/>
      <c r="D39" s="106" t="s">
        <v>488</v>
      </c>
      <c r="E39" s="71" t="s">
        <v>476</v>
      </c>
      <c r="F39" s="68" t="s">
        <v>226</v>
      </c>
      <c r="G39" s="143">
        <f t="shared" si="0"/>
        <v>0</v>
      </c>
      <c r="H39" s="122"/>
      <c r="I39" s="122"/>
      <c r="J39" s="122"/>
      <c r="K39" s="122"/>
      <c r="L39" s="142"/>
      <c r="M39" s="52"/>
      <c r="P39" s="115"/>
    </row>
    <row r="40" spans="3:16" s="140" customFormat="1" ht="12.75">
      <c r="C40" s="141"/>
      <c r="D40" s="106" t="s">
        <v>384</v>
      </c>
      <c r="E40" s="67" t="s">
        <v>505</v>
      </c>
      <c r="F40" s="68" t="s">
        <v>227</v>
      </c>
      <c r="G40" s="143">
        <f t="shared" si="0"/>
        <v>3176.2</v>
      </c>
      <c r="H40" s="143">
        <f>SUM(H41:H43)</f>
        <v>0</v>
      </c>
      <c r="I40" s="143">
        <f>SUM(I41:I43)</f>
        <v>3176.2</v>
      </c>
      <c r="J40" s="143">
        <f>SUM(J41:J43)</f>
        <v>0</v>
      </c>
      <c r="K40" s="143">
        <f>SUM(K41:K43)</f>
        <v>0</v>
      </c>
      <c r="L40" s="142"/>
      <c r="M40" s="52"/>
      <c r="P40" s="115"/>
    </row>
    <row r="41" spans="3:16" s="140" customFormat="1" ht="12.75">
      <c r="C41" s="141"/>
      <c r="D41" s="113" t="s">
        <v>496</v>
      </c>
      <c r="E41" s="144"/>
      <c r="F41" s="84" t="s">
        <v>227</v>
      </c>
      <c r="G41" s="145"/>
      <c r="H41" s="145"/>
      <c r="I41" s="145"/>
      <c r="J41" s="145"/>
      <c r="K41" s="145"/>
      <c r="L41" s="142"/>
      <c r="M41" s="52"/>
      <c r="P41" s="115"/>
    </row>
    <row r="42" spans="3:16" s="140" customFormat="1" ht="14.25">
      <c r="C42" s="121" t="s">
        <v>0</v>
      </c>
      <c r="D42" s="146" t="s">
        <v>1875</v>
      </c>
      <c r="E42" s="82" t="s">
        <v>1467</v>
      </c>
      <c r="F42" s="79">
        <v>751</v>
      </c>
      <c r="G42" s="147">
        <f>SUM(H42:K42)</f>
        <v>3176.2</v>
      </c>
      <c r="H42" s="148"/>
      <c r="I42" s="148">
        <v>3176.2</v>
      </c>
      <c r="J42" s="148"/>
      <c r="K42" s="149"/>
      <c r="L42" s="142"/>
      <c r="M42" s="85" t="s">
        <v>1468</v>
      </c>
      <c r="N42" s="86" t="s">
        <v>1451</v>
      </c>
      <c r="O42" s="86" t="s">
        <v>1466</v>
      </c>
    </row>
    <row r="43" spans="3:16" s="140" customFormat="1" ht="12.75">
      <c r="C43" s="141"/>
      <c r="D43" s="76"/>
      <c r="E43" s="104" t="s">
        <v>334</v>
      </c>
      <c r="F43" s="73"/>
      <c r="G43" s="73"/>
      <c r="H43" s="73"/>
      <c r="I43" s="73"/>
      <c r="J43" s="73"/>
      <c r="K43" s="74"/>
      <c r="L43" s="142"/>
      <c r="M43" s="52"/>
      <c r="P43" s="115"/>
    </row>
    <row r="44" spans="3:16" s="140" customFormat="1" ht="12.75">
      <c r="C44" s="141"/>
      <c r="D44" s="106" t="s">
        <v>385</v>
      </c>
      <c r="E44" s="105" t="s">
        <v>477</v>
      </c>
      <c r="F44" s="68" t="s">
        <v>228</v>
      </c>
      <c r="G44" s="143">
        <f t="shared" si="0"/>
        <v>0</v>
      </c>
      <c r="H44" s="122"/>
      <c r="I44" s="122"/>
      <c r="J44" s="122"/>
      <c r="K44" s="122"/>
      <c r="L44" s="142"/>
      <c r="M44" s="52"/>
      <c r="P44" s="115">
        <v>120</v>
      </c>
    </row>
    <row r="45" spans="3:16" s="140" customFormat="1" ht="12.75">
      <c r="C45" s="141"/>
      <c r="D45" s="106" t="s">
        <v>386</v>
      </c>
      <c r="E45" s="88" t="s">
        <v>159</v>
      </c>
      <c r="F45" s="68" t="s">
        <v>229</v>
      </c>
      <c r="G45" s="143">
        <f t="shared" si="0"/>
        <v>2671.4629999999997</v>
      </c>
      <c r="H45" s="122">
        <f>H25-H48-H34</f>
        <v>888.35199999999998</v>
      </c>
      <c r="I45" s="122">
        <f>I15-I34-I48</f>
        <v>842.92200000000014</v>
      </c>
      <c r="J45" s="122">
        <f>J23+J28+J17-J34-J48</f>
        <v>940.18899999999985</v>
      </c>
      <c r="K45" s="122">
        <f>K31-K34-K48</f>
        <v>-1.6342482922482304E-13</v>
      </c>
      <c r="L45" s="142"/>
      <c r="M45" s="52"/>
      <c r="P45" s="115">
        <v>150</v>
      </c>
    </row>
    <row r="46" spans="3:16" s="140" customFormat="1" ht="12.75">
      <c r="C46" s="141"/>
      <c r="D46" s="106" t="s">
        <v>387</v>
      </c>
      <c r="E46" s="88" t="s">
        <v>160</v>
      </c>
      <c r="F46" s="68" t="s">
        <v>230</v>
      </c>
      <c r="G46" s="143">
        <f t="shared" si="0"/>
        <v>0</v>
      </c>
      <c r="H46" s="122"/>
      <c r="I46" s="122"/>
      <c r="J46" s="122"/>
      <c r="K46" s="122"/>
      <c r="L46" s="142"/>
      <c r="M46" s="52"/>
      <c r="P46" s="115">
        <v>160</v>
      </c>
    </row>
    <row r="47" spans="3:16" s="140" customFormat="1" ht="12.75">
      <c r="C47" s="141"/>
      <c r="D47" s="106" t="s">
        <v>388</v>
      </c>
      <c r="E47" s="88" t="s">
        <v>162</v>
      </c>
      <c r="F47" s="68" t="s">
        <v>231</v>
      </c>
      <c r="G47" s="143">
        <f t="shared" si="0"/>
        <v>0</v>
      </c>
      <c r="H47" s="122"/>
      <c r="I47" s="122"/>
      <c r="J47" s="122"/>
      <c r="K47" s="122"/>
      <c r="L47" s="142"/>
      <c r="M47" s="52"/>
      <c r="P47" s="115">
        <v>180</v>
      </c>
    </row>
    <row r="48" spans="3:16" s="140" customFormat="1" ht="12.75">
      <c r="C48" s="141"/>
      <c r="D48" s="106" t="s">
        <v>389</v>
      </c>
      <c r="E48" s="88" t="s">
        <v>473</v>
      </c>
      <c r="F48" s="68" t="s">
        <v>232</v>
      </c>
      <c r="G48" s="143">
        <f t="shared" si="0"/>
        <v>132.36500000000001</v>
      </c>
      <c r="H48" s="122">
        <v>7.0000000000000007E-2</v>
      </c>
      <c r="I48" s="122">
        <v>63.484999999999999</v>
      </c>
      <c r="J48" s="122">
        <f>44.603+7.926</f>
        <v>52.529000000000003</v>
      </c>
      <c r="K48" s="122">
        <v>16.280999999999999</v>
      </c>
      <c r="L48" s="142"/>
      <c r="M48" s="52"/>
      <c r="P48" s="115">
        <v>190</v>
      </c>
    </row>
    <row r="49" spans="3:16" s="140" customFormat="1" ht="12.75">
      <c r="C49" s="141"/>
      <c r="D49" s="106" t="s">
        <v>390</v>
      </c>
      <c r="E49" s="67" t="s">
        <v>474</v>
      </c>
      <c r="F49" s="68" t="s">
        <v>234</v>
      </c>
      <c r="G49" s="143">
        <f t="shared" si="0"/>
        <v>0</v>
      </c>
      <c r="H49" s="122"/>
      <c r="I49" s="122"/>
      <c r="J49" s="122"/>
      <c r="K49" s="122"/>
      <c r="L49" s="142"/>
      <c r="M49" s="52"/>
      <c r="P49" s="115">
        <v>200</v>
      </c>
    </row>
    <row r="50" spans="3:16" s="140" customFormat="1" ht="22.5">
      <c r="C50" s="141"/>
      <c r="D50" s="106" t="s">
        <v>475</v>
      </c>
      <c r="E50" s="88" t="s">
        <v>417</v>
      </c>
      <c r="F50" s="68" t="s">
        <v>235</v>
      </c>
      <c r="G50" s="143">
        <f t="shared" si="0"/>
        <v>163.249</v>
      </c>
      <c r="H50" s="122"/>
      <c r="I50" s="122">
        <f>163.249*0.25776</f>
        <v>42.079062239999999</v>
      </c>
      <c r="J50" s="122">
        <f>163.249*0.37244</f>
        <v>60.800457559999998</v>
      </c>
      <c r="K50" s="122">
        <f>163.249*0.3698</f>
        <v>60.369480199999998</v>
      </c>
      <c r="L50" s="142"/>
      <c r="M50" s="52"/>
      <c r="P50" s="116"/>
    </row>
    <row r="51" spans="3:16" s="140" customFormat="1" ht="33.75">
      <c r="C51" s="141"/>
      <c r="D51" s="106" t="s">
        <v>391</v>
      </c>
      <c r="E51" s="89" t="s">
        <v>236</v>
      </c>
      <c r="F51" s="68" t="s">
        <v>237</v>
      </c>
      <c r="G51" s="143">
        <f t="shared" si="0"/>
        <v>-30.883999999999993</v>
      </c>
      <c r="H51" s="143">
        <f>H48-H50</f>
        <v>7.0000000000000007E-2</v>
      </c>
      <c r="I51" s="143">
        <f>I48-I50</f>
        <v>21.40593776</v>
      </c>
      <c r="J51" s="143">
        <f>J48-J50</f>
        <v>-8.2714575599999947</v>
      </c>
      <c r="K51" s="143">
        <f>K48-K50</f>
        <v>-44.088480199999999</v>
      </c>
      <c r="L51" s="142"/>
      <c r="M51" s="52"/>
      <c r="P51" s="116"/>
    </row>
    <row r="52" spans="3:16" s="140" customFormat="1" ht="12.75">
      <c r="C52" s="141"/>
      <c r="D52" s="106" t="s">
        <v>392</v>
      </c>
      <c r="E52" s="88" t="s">
        <v>163</v>
      </c>
      <c r="F52" s="68" t="s">
        <v>238</v>
      </c>
      <c r="G52" s="143">
        <f t="shared" si="0"/>
        <v>0</v>
      </c>
      <c r="H52" s="143">
        <f>(H15+H28+H33)-(H34+H45+H46+H47+H48)</f>
        <v>0</v>
      </c>
      <c r="I52" s="143">
        <f>(I15+I28+I33)-(I34+I45+I46+I47+I48)</f>
        <v>0</v>
      </c>
      <c r="J52" s="143">
        <f>(J15+J28+J33)-(J34+J45+J46+J47+J48)</f>
        <v>0</v>
      </c>
      <c r="K52" s="143">
        <f>(K15+K28+K33)-(K34+K45+K46+K47+K48)</f>
        <v>0</v>
      </c>
      <c r="L52" s="142"/>
      <c r="M52" s="52"/>
      <c r="P52" s="115">
        <v>210</v>
      </c>
    </row>
    <row r="53" spans="3:16" s="140" customFormat="1" ht="12.75">
      <c r="C53" s="141"/>
      <c r="D53" s="174" t="s">
        <v>201</v>
      </c>
      <c r="E53" s="175"/>
      <c r="F53" s="175"/>
      <c r="G53" s="175"/>
      <c r="H53" s="175"/>
      <c r="I53" s="175"/>
      <c r="J53" s="175"/>
      <c r="K53" s="176"/>
      <c r="L53" s="142"/>
      <c r="M53" s="52"/>
      <c r="P53" s="116"/>
    </row>
    <row r="54" spans="3:16" s="140" customFormat="1" ht="12.75">
      <c r="C54" s="141"/>
      <c r="D54" s="106" t="s">
        <v>393</v>
      </c>
      <c r="E54" s="88" t="s">
        <v>498</v>
      </c>
      <c r="F54" s="68" t="s">
        <v>239</v>
      </c>
      <c r="G54" s="143">
        <f t="shared" si="0"/>
        <v>10.437355654761904</v>
      </c>
      <c r="H54" s="143">
        <f>H55+H56+H59+H62</f>
        <v>1.3220565476190476</v>
      </c>
      <c r="I54" s="143">
        <f>I55+I56+I59+I62</f>
        <v>7.0107499999999998</v>
      </c>
      <c r="J54" s="143">
        <f>J55+J56+J59+J62</f>
        <v>2.1045491071428568</v>
      </c>
      <c r="K54" s="143">
        <f>K55+K56+K59+K62</f>
        <v>0</v>
      </c>
      <c r="L54" s="142"/>
      <c r="M54" s="52"/>
      <c r="P54" s="115">
        <v>300</v>
      </c>
    </row>
    <row r="55" spans="3:16" s="140" customFormat="1" ht="12.75">
      <c r="C55" s="141"/>
      <c r="D55" s="106" t="s">
        <v>394</v>
      </c>
      <c r="E55" s="67" t="s">
        <v>210</v>
      </c>
      <c r="F55" s="68" t="s">
        <v>240</v>
      </c>
      <c r="G55" s="143">
        <f t="shared" si="0"/>
        <v>0</v>
      </c>
      <c r="H55" s="122"/>
      <c r="I55" s="122"/>
      <c r="J55" s="122"/>
      <c r="K55" s="122"/>
      <c r="L55" s="142"/>
      <c r="M55" s="52"/>
      <c r="P55" s="115">
        <v>310</v>
      </c>
    </row>
    <row r="56" spans="3:16" s="140" customFormat="1" ht="12.75">
      <c r="C56" s="141"/>
      <c r="D56" s="106" t="s">
        <v>395</v>
      </c>
      <c r="E56" s="67" t="s">
        <v>499</v>
      </c>
      <c r="F56" s="68" t="s">
        <v>241</v>
      </c>
      <c r="G56" s="143">
        <f t="shared" si="0"/>
        <v>0</v>
      </c>
      <c r="H56" s="143">
        <f>SUM(H57:H58)</f>
        <v>0</v>
      </c>
      <c r="I56" s="143">
        <f>SUM(I57:I58)</f>
        <v>0</v>
      </c>
      <c r="J56" s="143">
        <f>SUM(J57:J58)</f>
        <v>0</v>
      </c>
      <c r="K56" s="143">
        <f>SUM(K57:K58)</f>
        <v>0</v>
      </c>
      <c r="L56" s="142"/>
      <c r="M56" s="52"/>
      <c r="P56" s="115">
        <v>320</v>
      </c>
    </row>
    <row r="57" spans="3:16" s="140" customFormat="1" ht="12.75">
      <c r="C57" s="141"/>
      <c r="D57" s="113" t="s">
        <v>483</v>
      </c>
      <c r="E57" s="144"/>
      <c r="F57" s="84" t="s">
        <v>241</v>
      </c>
      <c r="G57" s="145"/>
      <c r="H57" s="145"/>
      <c r="I57" s="145"/>
      <c r="J57" s="145"/>
      <c r="K57" s="145"/>
      <c r="L57" s="142"/>
      <c r="M57" s="52"/>
      <c r="P57" s="115"/>
    </row>
    <row r="58" spans="3:16" s="140" customFormat="1" ht="12.75">
      <c r="C58" s="141"/>
      <c r="D58" s="108"/>
      <c r="E58" s="104" t="s">
        <v>334</v>
      </c>
      <c r="F58" s="73"/>
      <c r="G58" s="73"/>
      <c r="H58" s="73"/>
      <c r="I58" s="73"/>
      <c r="J58" s="73"/>
      <c r="K58" s="74"/>
      <c r="L58" s="142"/>
      <c r="M58" s="52"/>
      <c r="P58" s="115"/>
    </row>
    <row r="59" spans="3:16" s="140" customFormat="1" ht="12.75">
      <c r="C59" s="141"/>
      <c r="D59" s="106" t="s">
        <v>396</v>
      </c>
      <c r="E59" s="67" t="s">
        <v>500</v>
      </c>
      <c r="F59" s="68" t="s">
        <v>242</v>
      </c>
      <c r="G59" s="143">
        <f t="shared" si="0"/>
        <v>0</v>
      </c>
      <c r="H59" s="143">
        <f>SUM(H60:H61)</f>
        <v>0</v>
      </c>
      <c r="I59" s="143">
        <f>SUM(I60:I61)</f>
        <v>0</v>
      </c>
      <c r="J59" s="143">
        <f>SUM(J60:J61)</f>
        <v>0</v>
      </c>
      <c r="K59" s="143">
        <f>SUM(K60:K61)</f>
        <v>0</v>
      </c>
      <c r="L59" s="142"/>
      <c r="M59" s="52"/>
      <c r="P59" s="115"/>
    </row>
    <row r="60" spans="3:16" s="140" customFormat="1" ht="12.75">
      <c r="C60" s="141"/>
      <c r="D60" s="113" t="s">
        <v>484</v>
      </c>
      <c r="E60" s="144"/>
      <c r="F60" s="84" t="s">
        <v>242</v>
      </c>
      <c r="G60" s="145"/>
      <c r="H60" s="145"/>
      <c r="I60" s="145"/>
      <c r="J60" s="145"/>
      <c r="K60" s="145"/>
      <c r="L60" s="142"/>
      <c r="M60" s="52"/>
      <c r="P60" s="115"/>
    </row>
    <row r="61" spans="3:16" s="140" customFormat="1" ht="12.75">
      <c r="C61" s="141"/>
      <c r="D61" s="108"/>
      <c r="E61" s="104" t="s">
        <v>334</v>
      </c>
      <c r="F61" s="73"/>
      <c r="G61" s="73"/>
      <c r="H61" s="73"/>
      <c r="I61" s="73"/>
      <c r="J61" s="73"/>
      <c r="K61" s="74"/>
      <c r="L61" s="142"/>
      <c r="M61" s="52"/>
      <c r="P61" s="115"/>
    </row>
    <row r="62" spans="3:16" s="140" customFormat="1" ht="12.75">
      <c r="C62" s="141"/>
      <c r="D62" s="106" t="s">
        <v>397</v>
      </c>
      <c r="E62" s="67" t="s">
        <v>501</v>
      </c>
      <c r="F62" s="68" t="s">
        <v>243</v>
      </c>
      <c r="G62" s="143">
        <f t="shared" si="0"/>
        <v>10.437355654761904</v>
      </c>
      <c r="H62" s="143">
        <f>SUM(H63:H66)</f>
        <v>1.3220565476190476</v>
      </c>
      <c r="I62" s="143">
        <f>SUM(I63:I66)</f>
        <v>7.0107499999999998</v>
      </c>
      <c r="J62" s="143">
        <f>SUM(J63:J66)</f>
        <v>2.1045491071428568</v>
      </c>
      <c r="K62" s="143">
        <f>SUM(K63:K66)</f>
        <v>0</v>
      </c>
      <c r="L62" s="142"/>
      <c r="M62" s="52"/>
      <c r="P62" s="115">
        <v>330</v>
      </c>
    </row>
    <row r="63" spans="3:16" s="140" customFormat="1" ht="12.75">
      <c r="C63" s="141"/>
      <c r="D63" s="113" t="s">
        <v>485</v>
      </c>
      <c r="E63" s="144"/>
      <c r="F63" s="84" t="s">
        <v>243</v>
      </c>
      <c r="G63" s="145"/>
      <c r="H63" s="145"/>
      <c r="I63" s="145"/>
      <c r="J63" s="145"/>
      <c r="K63" s="145"/>
      <c r="L63" s="142"/>
      <c r="M63" s="52"/>
      <c r="P63" s="115"/>
    </row>
    <row r="64" spans="3:16" s="140" customFormat="1" ht="14.25">
      <c r="C64" s="121" t="s">
        <v>0</v>
      </c>
      <c r="D64" s="146" t="s">
        <v>1876</v>
      </c>
      <c r="E64" s="82" t="s">
        <v>2047</v>
      </c>
      <c r="F64" s="79">
        <v>1461</v>
      </c>
      <c r="G64" s="147">
        <f>SUM(H64:K64)</f>
        <v>8.9062827380952374</v>
      </c>
      <c r="H64" s="148">
        <f>H25/672</f>
        <v>1.3220565476190476</v>
      </c>
      <c r="I64" s="148">
        <f>I25/672</f>
        <v>7.0107499999999998</v>
      </c>
      <c r="J64" s="148">
        <f>J25/672</f>
        <v>0.57347619047619047</v>
      </c>
      <c r="K64" s="148"/>
      <c r="L64" s="142"/>
      <c r="M64" s="85" t="s">
        <v>1842</v>
      </c>
      <c r="N64" s="86" t="s">
        <v>1438</v>
      </c>
      <c r="O64" s="86" t="s">
        <v>1841</v>
      </c>
    </row>
    <row r="65" spans="3:16" s="140" customFormat="1" ht="14.25">
      <c r="C65" s="121" t="s">
        <v>0</v>
      </c>
      <c r="D65" s="146" t="s">
        <v>2073</v>
      </c>
      <c r="E65" s="82" t="s">
        <v>1467</v>
      </c>
      <c r="F65" s="79">
        <v>1462</v>
      </c>
      <c r="G65" s="147">
        <f>SUM(H65:K65)</f>
        <v>1.5310729166666666</v>
      </c>
      <c r="H65" s="148"/>
      <c r="I65" s="148"/>
      <c r="J65" s="148">
        <f>J26/672</f>
        <v>1.5310729166666666</v>
      </c>
      <c r="K65" s="149"/>
      <c r="L65" s="142"/>
      <c r="M65" s="85" t="s">
        <v>1468</v>
      </c>
      <c r="N65" s="86" t="s">
        <v>1438</v>
      </c>
      <c r="O65" s="86" t="s">
        <v>1466</v>
      </c>
    </row>
    <row r="66" spans="3:16" s="140" customFormat="1" ht="12.75">
      <c r="C66" s="141"/>
      <c r="D66" s="108"/>
      <c r="E66" s="104" t="s">
        <v>334</v>
      </c>
      <c r="F66" s="73"/>
      <c r="G66" s="73"/>
      <c r="H66" s="73"/>
      <c r="I66" s="73"/>
      <c r="J66" s="73"/>
      <c r="K66" s="74"/>
      <c r="L66" s="142"/>
      <c r="M66" s="52"/>
      <c r="P66" s="115"/>
    </row>
    <row r="67" spans="3:16" s="140" customFormat="1" ht="12.75">
      <c r="C67" s="141"/>
      <c r="D67" s="106" t="s">
        <v>398</v>
      </c>
      <c r="E67" s="88" t="s">
        <v>157</v>
      </c>
      <c r="F67" s="68" t="s">
        <v>244</v>
      </c>
      <c r="G67" s="143">
        <f t="shared" si="0"/>
        <v>3.9753913690476192</v>
      </c>
      <c r="H67" s="143">
        <f>H69+H70+H71</f>
        <v>0</v>
      </c>
      <c r="I67" s="143">
        <f>I68+I70+I71</f>
        <v>0</v>
      </c>
      <c r="J67" s="143">
        <f>J68+J69+J71</f>
        <v>2.5763005952380955</v>
      </c>
      <c r="K67" s="143">
        <f>K68+K69+K70</f>
        <v>1.3990907738095235</v>
      </c>
      <c r="L67" s="142"/>
      <c r="M67" s="52"/>
      <c r="P67" s="115">
        <v>340</v>
      </c>
    </row>
    <row r="68" spans="3:16" s="140" customFormat="1" ht="12.75">
      <c r="C68" s="141"/>
      <c r="D68" s="106" t="s">
        <v>399</v>
      </c>
      <c r="E68" s="67" t="s">
        <v>134</v>
      </c>
      <c r="F68" s="68" t="s">
        <v>245</v>
      </c>
      <c r="G68" s="143">
        <f t="shared" si="0"/>
        <v>1.321952380952381</v>
      </c>
      <c r="H68" s="150"/>
      <c r="I68" s="122"/>
      <c r="J68" s="122">
        <f>J29/672</f>
        <v>1.321952380952381</v>
      </c>
      <c r="K68" s="122"/>
      <c r="L68" s="142"/>
      <c r="M68" s="52"/>
      <c r="P68" s="115">
        <v>350</v>
      </c>
    </row>
    <row r="69" spans="3:16" s="140" customFormat="1" ht="12.75">
      <c r="C69" s="141"/>
      <c r="D69" s="106" t="s">
        <v>400</v>
      </c>
      <c r="E69" s="67" t="s">
        <v>135</v>
      </c>
      <c r="F69" s="68" t="s">
        <v>246</v>
      </c>
      <c r="G69" s="143">
        <f t="shared" si="0"/>
        <v>1.2543482142857145</v>
      </c>
      <c r="H69" s="122"/>
      <c r="I69" s="151"/>
      <c r="J69" s="122">
        <f>J30/672</f>
        <v>1.2543482142857145</v>
      </c>
      <c r="K69" s="122"/>
      <c r="L69" s="142"/>
      <c r="M69" s="52"/>
      <c r="P69" s="115">
        <v>360</v>
      </c>
    </row>
    <row r="70" spans="3:16" s="140" customFormat="1" ht="12.75">
      <c r="C70" s="141"/>
      <c r="D70" s="106" t="s">
        <v>401</v>
      </c>
      <c r="E70" s="67" t="s">
        <v>136</v>
      </c>
      <c r="F70" s="68" t="s">
        <v>247</v>
      </c>
      <c r="G70" s="143">
        <f t="shared" si="0"/>
        <v>1.3990907738095235</v>
      </c>
      <c r="H70" s="122"/>
      <c r="I70" s="122"/>
      <c r="J70" s="150"/>
      <c r="K70" s="122">
        <f>K31/672</f>
        <v>1.3990907738095235</v>
      </c>
      <c r="L70" s="142"/>
      <c r="M70" s="52"/>
      <c r="P70" s="115">
        <v>370</v>
      </c>
    </row>
    <row r="71" spans="3:16" s="140" customFormat="1" ht="12.75">
      <c r="C71" s="141"/>
      <c r="D71" s="106" t="s">
        <v>402</v>
      </c>
      <c r="E71" s="67" t="s">
        <v>158</v>
      </c>
      <c r="F71" s="68" t="s">
        <v>248</v>
      </c>
      <c r="G71" s="143">
        <f t="shared" si="0"/>
        <v>0</v>
      </c>
      <c r="H71" s="122"/>
      <c r="I71" s="122"/>
      <c r="J71" s="122"/>
      <c r="K71" s="150"/>
      <c r="L71" s="142"/>
      <c r="M71" s="52"/>
      <c r="P71" s="115">
        <v>380</v>
      </c>
    </row>
    <row r="72" spans="3:16" s="140" customFormat="1" ht="12.75">
      <c r="C72" s="141"/>
      <c r="D72" s="106" t="s">
        <v>403</v>
      </c>
      <c r="E72" s="89" t="s">
        <v>161</v>
      </c>
      <c r="F72" s="68" t="s">
        <v>249</v>
      </c>
      <c r="G72" s="143">
        <f t="shared" si="0"/>
        <v>0</v>
      </c>
      <c r="H72" s="122"/>
      <c r="I72" s="122"/>
      <c r="J72" s="122"/>
      <c r="K72" s="122"/>
      <c r="L72" s="142"/>
      <c r="M72" s="52"/>
      <c r="P72" s="115"/>
    </row>
    <row r="73" spans="3:16" s="140" customFormat="1" ht="12.75">
      <c r="C73" s="141"/>
      <c r="D73" s="106" t="s">
        <v>404</v>
      </c>
      <c r="E73" s="88" t="s">
        <v>502</v>
      </c>
      <c r="F73" s="109" t="s">
        <v>250</v>
      </c>
      <c r="G73" s="143">
        <f t="shared" si="0"/>
        <v>10.240383928571429</v>
      </c>
      <c r="H73" s="143">
        <f>H74+H76+H79+H83</f>
        <v>0</v>
      </c>
      <c r="I73" s="143">
        <f>I74+I76+I79+I83</f>
        <v>5.6619300595238089</v>
      </c>
      <c r="J73" s="143">
        <f>J74+J76+J79+J83</f>
        <v>3.2035907738095242</v>
      </c>
      <c r="K73" s="143">
        <f>K74+K76+K79+K83</f>
        <v>1.3748630952380954</v>
      </c>
      <c r="L73" s="142"/>
      <c r="M73" s="52"/>
      <c r="P73" s="115">
        <v>390</v>
      </c>
    </row>
    <row r="74" spans="3:16" s="140" customFormat="1" ht="22.5">
      <c r="C74" s="141"/>
      <c r="D74" s="106" t="s">
        <v>405</v>
      </c>
      <c r="E74" s="67" t="s">
        <v>503</v>
      </c>
      <c r="F74" s="68" t="s">
        <v>251</v>
      </c>
      <c r="G74" s="143">
        <f t="shared" si="0"/>
        <v>0</v>
      </c>
      <c r="H74" s="122"/>
      <c r="I74" s="122"/>
      <c r="J74" s="122"/>
      <c r="K74" s="122"/>
      <c r="L74" s="142"/>
      <c r="M74" s="52"/>
      <c r="P74" s="115"/>
    </row>
    <row r="75" spans="3:16" s="140" customFormat="1" ht="12.75">
      <c r="C75" s="141"/>
      <c r="D75" s="106" t="s">
        <v>489</v>
      </c>
      <c r="E75" s="69" t="s">
        <v>476</v>
      </c>
      <c r="F75" s="68" t="s">
        <v>252</v>
      </c>
      <c r="G75" s="143">
        <f t="shared" si="0"/>
        <v>0</v>
      </c>
      <c r="H75" s="122"/>
      <c r="I75" s="122"/>
      <c r="J75" s="122"/>
      <c r="K75" s="122"/>
      <c r="L75" s="142"/>
      <c r="M75" s="52"/>
      <c r="P75" s="115"/>
    </row>
    <row r="76" spans="3:16" s="140" customFormat="1" ht="12.75">
      <c r="C76" s="141"/>
      <c r="D76" s="106" t="s">
        <v>406</v>
      </c>
      <c r="E76" s="67" t="s">
        <v>221</v>
      </c>
      <c r="F76" s="68" t="s">
        <v>253</v>
      </c>
      <c r="G76" s="143">
        <f t="shared" si="0"/>
        <v>5.5138958333333337</v>
      </c>
      <c r="H76" s="122">
        <f>H37/672</f>
        <v>0</v>
      </c>
      <c r="I76" s="122">
        <f>I37/672</f>
        <v>0.93544196428571458</v>
      </c>
      <c r="J76" s="122">
        <f>J37/672</f>
        <v>3.2035907738095242</v>
      </c>
      <c r="K76" s="122">
        <f>K37/672</f>
        <v>1.3748630952380954</v>
      </c>
      <c r="L76" s="142"/>
      <c r="M76" s="52"/>
      <c r="P76" s="115"/>
    </row>
    <row r="77" spans="3:16" s="140" customFormat="1" ht="12.75">
      <c r="C77" s="141"/>
      <c r="D77" s="106" t="s">
        <v>490</v>
      </c>
      <c r="E77" s="69" t="s">
        <v>504</v>
      </c>
      <c r="F77" s="68" t="s">
        <v>254</v>
      </c>
      <c r="G77" s="143">
        <f t="shared" si="0"/>
        <v>0</v>
      </c>
      <c r="H77" s="122"/>
      <c r="I77" s="122"/>
      <c r="J77" s="122"/>
      <c r="K77" s="122"/>
      <c r="L77" s="142"/>
      <c r="M77" s="52"/>
      <c r="P77" s="115"/>
    </row>
    <row r="78" spans="3:16" s="140" customFormat="1" ht="12.75">
      <c r="C78" s="141"/>
      <c r="D78" s="106" t="s">
        <v>491</v>
      </c>
      <c r="E78" s="71" t="s">
        <v>476</v>
      </c>
      <c r="F78" s="68" t="s">
        <v>255</v>
      </c>
      <c r="G78" s="143">
        <f t="shared" si="0"/>
        <v>0</v>
      </c>
      <c r="H78" s="122"/>
      <c r="I78" s="122"/>
      <c r="J78" s="122"/>
      <c r="K78" s="122"/>
      <c r="L78" s="142"/>
      <c r="M78" s="52"/>
      <c r="P78" s="115"/>
    </row>
    <row r="79" spans="3:16" s="140" customFormat="1" ht="12.75">
      <c r="C79" s="141"/>
      <c r="D79" s="106" t="s">
        <v>407</v>
      </c>
      <c r="E79" s="67" t="s">
        <v>505</v>
      </c>
      <c r="F79" s="68" t="s">
        <v>256</v>
      </c>
      <c r="G79" s="143">
        <f t="shared" si="0"/>
        <v>4.7264880952380945</v>
      </c>
      <c r="H79" s="143">
        <f>SUM(H80:H82)</f>
        <v>0</v>
      </c>
      <c r="I79" s="143">
        <f>SUM(I80:I82)</f>
        <v>4.7264880952380945</v>
      </c>
      <c r="J79" s="143">
        <f>SUM(J80:J82)</f>
        <v>0</v>
      </c>
      <c r="K79" s="143">
        <f>SUM(K80:K82)</f>
        <v>0</v>
      </c>
      <c r="L79" s="142"/>
      <c r="M79" s="52"/>
      <c r="P79" s="115"/>
    </row>
    <row r="80" spans="3:16" s="140" customFormat="1" ht="12.75">
      <c r="C80" s="141"/>
      <c r="D80" s="113" t="s">
        <v>497</v>
      </c>
      <c r="E80" s="144"/>
      <c r="F80" s="84" t="s">
        <v>256</v>
      </c>
      <c r="G80" s="145"/>
      <c r="H80" s="145"/>
      <c r="I80" s="145"/>
      <c r="J80" s="145"/>
      <c r="K80" s="145"/>
      <c r="L80" s="142"/>
      <c r="M80" s="52"/>
      <c r="P80" s="115"/>
    </row>
    <row r="81" spans="3:16" s="140" customFormat="1" ht="14.25">
      <c r="C81" s="121" t="s">
        <v>0</v>
      </c>
      <c r="D81" s="146" t="s">
        <v>1877</v>
      </c>
      <c r="E81" s="82" t="s">
        <v>1467</v>
      </c>
      <c r="F81" s="79">
        <v>1781</v>
      </c>
      <c r="G81" s="147">
        <f>SUM(H81:K81)</f>
        <v>4.7264880952380945</v>
      </c>
      <c r="H81" s="148"/>
      <c r="I81" s="148">
        <f>I42/672</f>
        <v>4.7264880952380945</v>
      </c>
      <c r="J81" s="148"/>
      <c r="K81" s="149"/>
      <c r="L81" s="142"/>
      <c r="M81" s="85" t="s">
        <v>1468</v>
      </c>
      <c r="N81" s="86" t="s">
        <v>1451</v>
      </c>
      <c r="O81" s="86" t="s">
        <v>1466</v>
      </c>
    </row>
    <row r="82" spans="3:16" s="140" customFormat="1" ht="12.75">
      <c r="C82" s="141"/>
      <c r="D82" s="108"/>
      <c r="E82" s="104" t="s">
        <v>334</v>
      </c>
      <c r="F82" s="73"/>
      <c r="G82" s="73"/>
      <c r="H82" s="73"/>
      <c r="I82" s="73"/>
      <c r="J82" s="73"/>
      <c r="K82" s="74"/>
      <c r="L82" s="142"/>
      <c r="M82" s="52"/>
      <c r="P82" s="115"/>
    </row>
    <row r="83" spans="3:16" s="140" customFormat="1" ht="12.75">
      <c r="C83" s="141"/>
      <c r="D83" s="106" t="s">
        <v>408</v>
      </c>
      <c r="E83" s="105" t="s">
        <v>477</v>
      </c>
      <c r="F83" s="68" t="s">
        <v>257</v>
      </c>
      <c r="G83" s="143">
        <f t="shared" si="0"/>
        <v>0</v>
      </c>
      <c r="H83" s="122"/>
      <c r="I83" s="122"/>
      <c r="J83" s="122"/>
      <c r="K83" s="122"/>
      <c r="L83" s="142"/>
      <c r="M83" s="52"/>
      <c r="P83" s="115">
        <v>410</v>
      </c>
    </row>
    <row r="84" spans="3:16" s="140" customFormat="1" ht="12.75">
      <c r="C84" s="141"/>
      <c r="D84" s="106" t="s">
        <v>409</v>
      </c>
      <c r="E84" s="88" t="s">
        <v>159</v>
      </c>
      <c r="F84" s="68" t="s">
        <v>258</v>
      </c>
      <c r="G84" s="143">
        <f t="shared" si="0"/>
        <v>3.9753913690476188</v>
      </c>
      <c r="H84" s="122">
        <f>H45/672</f>
        <v>1.321952380952381</v>
      </c>
      <c r="I84" s="122">
        <f>I45/672</f>
        <v>1.2543482142857145</v>
      </c>
      <c r="J84" s="122">
        <f>J45/672</f>
        <v>1.3990907738095235</v>
      </c>
      <c r="K84" s="122">
        <f>K45/672</f>
        <v>-2.4319171015598669E-16</v>
      </c>
      <c r="L84" s="142"/>
      <c r="M84" s="52"/>
      <c r="P84" s="115">
        <v>440</v>
      </c>
    </row>
    <row r="85" spans="3:16" s="140" customFormat="1" ht="12.75">
      <c r="C85" s="141"/>
      <c r="D85" s="106" t="s">
        <v>410</v>
      </c>
      <c r="E85" s="88" t="s">
        <v>160</v>
      </c>
      <c r="F85" s="68" t="s">
        <v>259</v>
      </c>
      <c r="G85" s="143">
        <f t="shared" si="0"/>
        <v>0</v>
      </c>
      <c r="H85" s="122"/>
      <c r="I85" s="122"/>
      <c r="J85" s="122"/>
      <c r="K85" s="122"/>
      <c r="L85" s="142"/>
      <c r="M85" s="52"/>
      <c r="P85" s="115">
        <v>450</v>
      </c>
    </row>
    <row r="86" spans="3:16" s="140" customFormat="1" ht="12.75">
      <c r="C86" s="141"/>
      <c r="D86" s="106" t="s">
        <v>411</v>
      </c>
      <c r="E86" s="88" t="s">
        <v>162</v>
      </c>
      <c r="F86" s="68" t="s">
        <v>260</v>
      </c>
      <c r="G86" s="143">
        <f t="shared" si="0"/>
        <v>0</v>
      </c>
      <c r="H86" s="122"/>
      <c r="I86" s="122"/>
      <c r="J86" s="122"/>
      <c r="K86" s="122"/>
      <c r="L86" s="142"/>
      <c r="M86" s="52"/>
      <c r="P86" s="115">
        <v>470</v>
      </c>
    </row>
    <row r="87" spans="3:16" s="140" customFormat="1" ht="12.75">
      <c r="C87" s="141"/>
      <c r="D87" s="106" t="s">
        <v>412</v>
      </c>
      <c r="E87" s="88" t="s">
        <v>473</v>
      </c>
      <c r="F87" s="68" t="s">
        <v>261</v>
      </c>
      <c r="G87" s="143">
        <f t="shared" si="0"/>
        <v>0.1969717261904762</v>
      </c>
      <c r="H87" s="122">
        <f>H48/672</f>
        <v>1.0416666666666667E-4</v>
      </c>
      <c r="I87" s="122">
        <f>I48/672</f>
        <v>9.4471726190476196E-2</v>
      </c>
      <c r="J87" s="122">
        <f>J48/672</f>
        <v>7.8168154761904765E-2</v>
      </c>
      <c r="K87" s="122">
        <f>K48/672</f>
        <v>2.422767857142857E-2</v>
      </c>
      <c r="L87" s="142"/>
      <c r="M87" s="52"/>
      <c r="P87" s="115">
        <v>480</v>
      </c>
    </row>
    <row r="88" spans="3:16" s="140" customFormat="1" ht="12.75">
      <c r="C88" s="141"/>
      <c r="D88" s="106" t="s">
        <v>413</v>
      </c>
      <c r="E88" s="67" t="s">
        <v>233</v>
      </c>
      <c r="F88" s="68" t="s">
        <v>262</v>
      </c>
      <c r="G88" s="143">
        <f t="shared" si="0"/>
        <v>0</v>
      </c>
      <c r="H88" s="122"/>
      <c r="I88" s="122"/>
      <c r="J88" s="122"/>
      <c r="K88" s="122"/>
      <c r="L88" s="142"/>
      <c r="M88" s="52"/>
      <c r="P88" s="115">
        <v>490</v>
      </c>
    </row>
    <row r="89" spans="3:16" s="140" customFormat="1" ht="22.5">
      <c r="C89" s="141"/>
      <c r="D89" s="106" t="s">
        <v>414</v>
      </c>
      <c r="E89" s="88" t="s">
        <v>417</v>
      </c>
      <c r="F89" s="68" t="s">
        <v>263</v>
      </c>
      <c r="G89" s="143">
        <f t="shared" si="0"/>
        <v>0.24293005952380953</v>
      </c>
      <c r="H89" s="122"/>
      <c r="I89" s="122">
        <f>I50/672</f>
        <v>6.2617652142857139E-2</v>
      </c>
      <c r="J89" s="122">
        <f>J50/672</f>
        <v>9.0476871369047612E-2</v>
      </c>
      <c r="K89" s="122">
        <f>K50/672</f>
        <v>8.9835536011904762E-2</v>
      </c>
      <c r="L89" s="142"/>
      <c r="M89" s="52"/>
      <c r="P89" s="115"/>
    </row>
    <row r="90" spans="3:16" s="140" customFormat="1" ht="33.75">
      <c r="C90" s="141"/>
      <c r="D90" s="106" t="s">
        <v>415</v>
      </c>
      <c r="E90" s="89" t="s">
        <v>236</v>
      </c>
      <c r="F90" s="68" t="s">
        <v>264</v>
      </c>
      <c r="G90" s="143">
        <f t="shared" si="0"/>
        <v>-4.5958333333333309E-2</v>
      </c>
      <c r="H90" s="143">
        <f>H87-H89</f>
        <v>1.0416666666666667E-4</v>
      </c>
      <c r="I90" s="143">
        <f>I87-I89</f>
        <v>3.1854074047619058E-2</v>
      </c>
      <c r="J90" s="143">
        <f>J87-J89</f>
        <v>-1.2308716607142847E-2</v>
      </c>
      <c r="K90" s="143">
        <f>K87-K89</f>
        <v>-6.5607857440476189E-2</v>
      </c>
      <c r="L90" s="142"/>
      <c r="M90" s="52"/>
      <c r="P90" s="115"/>
    </row>
    <row r="91" spans="3:16" s="140" customFormat="1" ht="12.75">
      <c r="C91" s="141"/>
      <c r="D91" s="106" t="s">
        <v>416</v>
      </c>
      <c r="E91" s="88" t="s">
        <v>163</v>
      </c>
      <c r="F91" s="68" t="s">
        <v>265</v>
      </c>
      <c r="G91" s="143">
        <f t="shared" si="0"/>
        <v>0</v>
      </c>
      <c r="H91" s="143">
        <f>(H54+H67+H72)-(H73+H84+H85+H86+H87)</f>
        <v>0</v>
      </c>
      <c r="I91" s="143">
        <f>(I54+I67+I72)-(I73+I84+I85+I86+I87)</f>
        <v>0</v>
      </c>
      <c r="J91" s="143">
        <f>(J54+J67+J72)-(J73+J84+J85+J86+J87)</f>
        <v>0</v>
      </c>
      <c r="K91" s="143">
        <f>(K54+K67+K72)-(K73+K84+K85+K86+K87)</f>
        <v>0</v>
      </c>
      <c r="L91" s="142"/>
      <c r="M91" s="52"/>
      <c r="P91" s="115">
        <v>500</v>
      </c>
    </row>
    <row r="92" spans="3:16" s="140" customFormat="1" ht="12.75">
      <c r="C92" s="141"/>
      <c r="D92" s="174" t="s">
        <v>202</v>
      </c>
      <c r="E92" s="175"/>
      <c r="F92" s="175"/>
      <c r="G92" s="175"/>
      <c r="H92" s="175"/>
      <c r="I92" s="175"/>
      <c r="J92" s="175"/>
      <c r="K92" s="176"/>
      <c r="L92" s="142"/>
      <c r="M92" s="52"/>
      <c r="P92" s="116"/>
    </row>
    <row r="93" spans="3:16" s="140" customFormat="1" ht="12.75">
      <c r="C93" s="141"/>
      <c r="D93" s="106" t="s">
        <v>418</v>
      </c>
      <c r="E93" s="88" t="s">
        <v>164</v>
      </c>
      <c r="F93" s="68" t="s">
        <v>266</v>
      </c>
      <c r="G93" s="143">
        <f t="shared" si="0"/>
        <v>0</v>
      </c>
      <c r="H93" s="122"/>
      <c r="I93" s="122"/>
      <c r="J93" s="122"/>
      <c r="K93" s="122"/>
      <c r="L93" s="142"/>
      <c r="M93" s="52"/>
      <c r="P93" s="115">
        <v>600</v>
      </c>
    </row>
    <row r="94" spans="3:16" s="140" customFormat="1" ht="12.75">
      <c r="C94" s="141"/>
      <c r="D94" s="106" t="s">
        <v>419</v>
      </c>
      <c r="E94" s="88" t="s">
        <v>165</v>
      </c>
      <c r="F94" s="68" t="s">
        <v>267</v>
      </c>
      <c r="G94" s="143">
        <f t="shared" si="0"/>
        <v>56.423000000000002</v>
      </c>
      <c r="H94" s="122"/>
      <c r="I94" s="122">
        <v>56.423000000000002</v>
      </c>
      <c r="J94" s="122"/>
      <c r="K94" s="122"/>
      <c r="L94" s="142"/>
      <c r="M94" s="52"/>
      <c r="P94" s="115">
        <v>610</v>
      </c>
    </row>
    <row r="95" spans="3:16" s="140" customFormat="1" ht="12.75">
      <c r="C95" s="141"/>
      <c r="D95" s="106" t="s">
        <v>420</v>
      </c>
      <c r="E95" s="88" t="s">
        <v>166</v>
      </c>
      <c r="F95" s="68" t="s">
        <v>268</v>
      </c>
      <c r="G95" s="143">
        <f t="shared" si="0"/>
        <v>0</v>
      </c>
      <c r="H95" s="122"/>
      <c r="I95" s="122"/>
      <c r="J95" s="122"/>
      <c r="K95" s="122"/>
      <c r="L95" s="142"/>
      <c r="M95" s="52"/>
      <c r="P95" s="115">
        <v>620</v>
      </c>
    </row>
    <row r="96" spans="3:16" s="140" customFormat="1" ht="12.75">
      <c r="C96" s="141"/>
      <c r="D96" s="174" t="s">
        <v>209</v>
      </c>
      <c r="E96" s="175"/>
      <c r="F96" s="175"/>
      <c r="G96" s="175"/>
      <c r="H96" s="175"/>
      <c r="I96" s="175"/>
      <c r="J96" s="175"/>
      <c r="K96" s="176"/>
      <c r="L96" s="142"/>
      <c r="M96" s="52"/>
      <c r="P96" s="116"/>
    </row>
    <row r="97" spans="3:16" s="140" customFormat="1" ht="12.75">
      <c r="C97" s="141"/>
      <c r="D97" s="106" t="s">
        <v>421</v>
      </c>
      <c r="E97" s="88" t="s">
        <v>506</v>
      </c>
      <c r="F97" s="68" t="s">
        <v>269</v>
      </c>
      <c r="G97" s="143">
        <f t="shared" si="0"/>
        <v>0</v>
      </c>
      <c r="H97" s="143">
        <f>SUM(H98:H99)</f>
        <v>0</v>
      </c>
      <c r="I97" s="143">
        <f>SUM(I98:I99)</f>
        <v>0</v>
      </c>
      <c r="J97" s="143">
        <f>SUM(J98:J99)</f>
        <v>0</v>
      </c>
      <c r="K97" s="143">
        <f>SUM(K98:K99)</f>
        <v>0</v>
      </c>
      <c r="L97" s="142"/>
      <c r="M97" s="52"/>
      <c r="P97" s="115">
        <v>700</v>
      </c>
    </row>
    <row r="98" spans="3:16" ht="12.75">
      <c r="C98" s="130"/>
      <c r="D98" s="107" t="s">
        <v>422</v>
      </c>
      <c r="E98" s="67" t="s">
        <v>167</v>
      </c>
      <c r="F98" s="68" t="s">
        <v>270</v>
      </c>
      <c r="G98" s="143">
        <f t="shared" si="0"/>
        <v>0</v>
      </c>
      <c r="H98" s="152"/>
      <c r="I98" s="152"/>
      <c r="J98" s="152"/>
      <c r="K98" s="152"/>
      <c r="L98" s="137"/>
      <c r="M98" s="52"/>
      <c r="P98" s="115">
        <v>710</v>
      </c>
    </row>
    <row r="99" spans="3:16" ht="12.75">
      <c r="C99" s="130"/>
      <c r="D99" s="107" t="s">
        <v>423</v>
      </c>
      <c r="E99" s="67" t="s">
        <v>507</v>
      </c>
      <c r="F99" s="68" t="s">
        <v>271</v>
      </c>
      <c r="G99" s="143">
        <f t="shared" si="0"/>
        <v>0</v>
      </c>
      <c r="H99" s="153">
        <f>H102</f>
        <v>0</v>
      </c>
      <c r="I99" s="153">
        <f>I102</f>
        <v>0</v>
      </c>
      <c r="J99" s="153">
        <f>J102</f>
        <v>0</v>
      </c>
      <c r="K99" s="153">
        <f>K102</f>
        <v>0</v>
      </c>
      <c r="L99" s="137"/>
      <c r="M99" s="52"/>
      <c r="P99" s="115">
        <v>720</v>
      </c>
    </row>
    <row r="100" spans="3:16" ht="12.75">
      <c r="C100" s="130"/>
      <c r="D100" s="107" t="s">
        <v>424</v>
      </c>
      <c r="E100" s="69" t="s">
        <v>508</v>
      </c>
      <c r="F100" s="68" t="s">
        <v>273</v>
      </c>
      <c r="G100" s="143">
        <f t="shared" si="0"/>
        <v>0</v>
      </c>
      <c r="H100" s="152"/>
      <c r="I100" s="152"/>
      <c r="J100" s="152"/>
      <c r="K100" s="152"/>
      <c r="L100" s="137"/>
      <c r="M100" s="52"/>
      <c r="P100" s="115">
        <v>730</v>
      </c>
    </row>
    <row r="101" spans="3:16" ht="12.75">
      <c r="C101" s="130"/>
      <c r="D101" s="107" t="s">
        <v>425</v>
      </c>
      <c r="E101" s="71" t="s">
        <v>509</v>
      </c>
      <c r="F101" s="68" t="s">
        <v>274</v>
      </c>
      <c r="G101" s="143">
        <f t="shared" si="0"/>
        <v>0</v>
      </c>
      <c r="H101" s="152"/>
      <c r="I101" s="152"/>
      <c r="J101" s="152"/>
      <c r="K101" s="152"/>
      <c r="L101" s="137"/>
      <c r="M101" s="52"/>
      <c r="P101" s="115"/>
    </row>
    <row r="102" spans="3:16" ht="12.75">
      <c r="C102" s="130"/>
      <c r="D102" s="107" t="s">
        <v>426</v>
      </c>
      <c r="E102" s="69" t="s">
        <v>478</v>
      </c>
      <c r="F102" s="68" t="s">
        <v>275</v>
      </c>
      <c r="G102" s="143">
        <f t="shared" si="0"/>
        <v>0</v>
      </c>
      <c r="H102" s="152"/>
      <c r="I102" s="152"/>
      <c r="J102" s="152"/>
      <c r="K102" s="152"/>
      <c r="L102" s="137"/>
      <c r="M102" s="52"/>
      <c r="P102" s="115">
        <v>740</v>
      </c>
    </row>
    <row r="103" spans="3:16" ht="12.75">
      <c r="C103" s="130"/>
      <c r="D103" s="107" t="s">
        <v>427</v>
      </c>
      <c r="E103" s="88" t="s">
        <v>510</v>
      </c>
      <c r="F103" s="68" t="s">
        <v>277</v>
      </c>
      <c r="G103" s="143">
        <f t="shared" si="0"/>
        <v>0</v>
      </c>
      <c r="H103" s="153">
        <f>H104+H120</f>
        <v>0</v>
      </c>
      <c r="I103" s="153">
        <f>I104+I120</f>
        <v>0</v>
      </c>
      <c r="J103" s="153">
        <f>J104+J120</f>
        <v>0</v>
      </c>
      <c r="K103" s="153">
        <f>K104+K120</f>
        <v>0</v>
      </c>
      <c r="L103" s="137"/>
      <c r="M103" s="52"/>
      <c r="P103" s="115">
        <v>750</v>
      </c>
    </row>
    <row r="104" spans="3:16" ht="12.75">
      <c r="C104" s="130"/>
      <c r="D104" s="107" t="s">
        <v>428</v>
      </c>
      <c r="E104" s="67" t="s">
        <v>279</v>
      </c>
      <c r="F104" s="68" t="s">
        <v>278</v>
      </c>
      <c r="G104" s="143">
        <f t="shared" si="0"/>
        <v>0</v>
      </c>
      <c r="H104" s="153">
        <f>H105+H106</f>
        <v>0</v>
      </c>
      <c r="I104" s="153">
        <f>I105+I106</f>
        <v>0</v>
      </c>
      <c r="J104" s="153">
        <f>J105+J106</f>
        <v>0</v>
      </c>
      <c r="K104" s="153">
        <f>K105+K106</f>
        <v>0</v>
      </c>
      <c r="L104" s="137"/>
      <c r="M104" s="52"/>
      <c r="P104" s="115">
        <v>760</v>
      </c>
    </row>
    <row r="105" spans="3:16" ht="12.75">
      <c r="C105" s="130"/>
      <c r="D105" s="107" t="s">
        <v>429</v>
      </c>
      <c r="E105" s="69" t="s">
        <v>222</v>
      </c>
      <c r="F105" s="68" t="s">
        <v>280</v>
      </c>
      <c r="G105" s="143">
        <f t="shared" si="0"/>
        <v>0</v>
      </c>
      <c r="H105" s="152"/>
      <c r="I105" s="152"/>
      <c r="J105" s="152"/>
      <c r="K105" s="152"/>
      <c r="L105" s="137"/>
      <c r="M105" s="52"/>
      <c r="P105" s="115"/>
    </row>
    <row r="106" spans="3:16" ht="12.75">
      <c r="C106" s="130"/>
      <c r="D106" s="107" t="s">
        <v>430</v>
      </c>
      <c r="E106" s="69" t="s">
        <v>511</v>
      </c>
      <c r="F106" s="68" t="s">
        <v>281</v>
      </c>
      <c r="G106" s="143">
        <f t="shared" si="0"/>
        <v>0</v>
      </c>
      <c r="H106" s="153">
        <f>H107+H110+H113+H116+H117+H118+H119</f>
        <v>0</v>
      </c>
      <c r="I106" s="153">
        <f>I107+I110+I113+I116+I117+I118+I119</f>
        <v>0</v>
      </c>
      <c r="J106" s="153">
        <f>J107+J110+J113+J116+J117+J118+J119</f>
        <v>0</v>
      </c>
      <c r="K106" s="153">
        <f>K107+K110+K113+K116+K117+K118+K119</f>
        <v>0</v>
      </c>
      <c r="L106" s="137"/>
      <c r="M106" s="52"/>
      <c r="P106" s="115"/>
    </row>
    <row r="107" spans="3:16" ht="45">
      <c r="C107" s="130"/>
      <c r="D107" s="107" t="s">
        <v>431</v>
      </c>
      <c r="E107" s="71" t="s">
        <v>512</v>
      </c>
      <c r="F107" s="68" t="s">
        <v>282</v>
      </c>
      <c r="G107" s="143">
        <f t="shared" si="0"/>
        <v>0</v>
      </c>
      <c r="H107" s="154">
        <f>H108+H109</f>
        <v>0</v>
      </c>
      <c r="I107" s="154">
        <f>I108+I109</f>
        <v>0</v>
      </c>
      <c r="J107" s="154">
        <f>J108+J109</f>
        <v>0</v>
      </c>
      <c r="K107" s="154">
        <f>K108+K109</f>
        <v>0</v>
      </c>
      <c r="L107" s="137"/>
      <c r="M107" s="52"/>
      <c r="P107" s="115"/>
    </row>
    <row r="108" spans="3:16" ht="12.75">
      <c r="C108" s="130"/>
      <c r="D108" s="107" t="s">
        <v>433</v>
      </c>
      <c r="E108" s="72" t="s">
        <v>283</v>
      </c>
      <c r="F108" s="68" t="s">
        <v>284</v>
      </c>
      <c r="G108" s="143">
        <f t="shared" si="0"/>
        <v>0</v>
      </c>
      <c r="H108" s="152"/>
      <c r="I108" s="152"/>
      <c r="J108" s="152"/>
      <c r="K108" s="152"/>
      <c r="L108" s="137"/>
      <c r="M108" s="52"/>
      <c r="P108" s="115"/>
    </row>
    <row r="109" spans="3:16" ht="12.75">
      <c r="C109" s="130"/>
      <c r="D109" s="107" t="s">
        <v>434</v>
      </c>
      <c r="E109" s="72" t="s">
        <v>285</v>
      </c>
      <c r="F109" s="68" t="s">
        <v>286</v>
      </c>
      <c r="G109" s="143">
        <f t="shared" si="0"/>
        <v>0</v>
      </c>
      <c r="H109" s="152"/>
      <c r="I109" s="152"/>
      <c r="J109" s="152"/>
      <c r="K109" s="152"/>
      <c r="L109" s="137"/>
      <c r="M109" s="52"/>
      <c r="P109" s="115"/>
    </row>
    <row r="110" spans="3:16" ht="45">
      <c r="C110" s="130"/>
      <c r="D110" s="107" t="s">
        <v>432</v>
      </c>
      <c r="E110" s="71" t="s">
        <v>513</v>
      </c>
      <c r="F110" s="68" t="s">
        <v>287</v>
      </c>
      <c r="G110" s="143">
        <f t="shared" si="0"/>
        <v>0</v>
      </c>
      <c r="H110" s="154">
        <f>H111+H112</f>
        <v>0</v>
      </c>
      <c r="I110" s="154">
        <f>I111+I112</f>
        <v>0</v>
      </c>
      <c r="J110" s="154">
        <f>J111+J112</f>
        <v>0</v>
      </c>
      <c r="K110" s="154">
        <f>K111+K112</f>
        <v>0</v>
      </c>
      <c r="L110" s="137"/>
      <c r="M110" s="52"/>
      <c r="P110" s="115"/>
    </row>
    <row r="111" spans="3:16" ht="12.75">
      <c r="C111" s="130"/>
      <c r="D111" s="107" t="s">
        <v>435</v>
      </c>
      <c r="E111" s="72" t="s">
        <v>283</v>
      </c>
      <c r="F111" s="68" t="s">
        <v>288</v>
      </c>
      <c r="G111" s="143">
        <f t="shared" si="0"/>
        <v>0</v>
      </c>
      <c r="H111" s="152"/>
      <c r="I111" s="152"/>
      <c r="J111" s="152"/>
      <c r="K111" s="152"/>
      <c r="L111" s="137"/>
      <c r="M111" s="52"/>
      <c r="P111" s="115"/>
    </row>
    <row r="112" spans="3:16" ht="12.75">
      <c r="C112" s="130"/>
      <c r="D112" s="107" t="s">
        <v>436</v>
      </c>
      <c r="E112" s="72" t="s">
        <v>285</v>
      </c>
      <c r="F112" s="68" t="s">
        <v>289</v>
      </c>
      <c r="G112" s="143">
        <f t="shared" si="0"/>
        <v>0</v>
      </c>
      <c r="H112" s="152"/>
      <c r="I112" s="152"/>
      <c r="J112" s="152"/>
      <c r="K112" s="152"/>
      <c r="L112" s="137"/>
      <c r="M112" s="52"/>
      <c r="P112" s="115"/>
    </row>
    <row r="113" spans="3:16" ht="22.5">
      <c r="C113" s="130"/>
      <c r="D113" s="107" t="s">
        <v>437</v>
      </c>
      <c r="E113" s="71" t="s">
        <v>514</v>
      </c>
      <c r="F113" s="68" t="s">
        <v>290</v>
      </c>
      <c r="G113" s="143">
        <f t="shared" si="0"/>
        <v>0</v>
      </c>
      <c r="H113" s="154">
        <f>H114+H115</f>
        <v>0</v>
      </c>
      <c r="I113" s="154">
        <f>I114+I115</f>
        <v>0</v>
      </c>
      <c r="J113" s="154">
        <f>J114+J115</f>
        <v>0</v>
      </c>
      <c r="K113" s="154">
        <f>K114+K115</f>
        <v>0</v>
      </c>
      <c r="L113" s="137"/>
      <c r="M113" s="52"/>
      <c r="P113" s="115"/>
    </row>
    <row r="114" spans="3:16" ht="12.75">
      <c r="C114" s="130"/>
      <c r="D114" s="107" t="s">
        <v>438</v>
      </c>
      <c r="E114" s="72" t="s">
        <v>283</v>
      </c>
      <c r="F114" s="68" t="s">
        <v>291</v>
      </c>
      <c r="G114" s="143">
        <f t="shared" si="0"/>
        <v>0</v>
      </c>
      <c r="H114" s="152"/>
      <c r="I114" s="152"/>
      <c r="J114" s="152"/>
      <c r="K114" s="152"/>
      <c r="L114" s="137"/>
      <c r="M114" s="52"/>
      <c r="P114" s="115"/>
    </row>
    <row r="115" spans="3:16" ht="12.75">
      <c r="C115" s="130"/>
      <c r="D115" s="107" t="s">
        <v>439</v>
      </c>
      <c r="E115" s="72" t="s">
        <v>285</v>
      </c>
      <c r="F115" s="68" t="s">
        <v>292</v>
      </c>
      <c r="G115" s="143">
        <f t="shared" si="0"/>
        <v>0</v>
      </c>
      <c r="H115" s="152"/>
      <c r="I115" s="152"/>
      <c r="J115" s="152"/>
      <c r="K115" s="152"/>
      <c r="L115" s="137"/>
      <c r="M115" s="52"/>
      <c r="P115" s="115"/>
    </row>
    <row r="116" spans="3:16" ht="22.5">
      <c r="C116" s="130"/>
      <c r="D116" s="107" t="s">
        <v>440</v>
      </c>
      <c r="E116" s="71" t="s">
        <v>293</v>
      </c>
      <c r="F116" s="68" t="s">
        <v>294</v>
      </c>
      <c r="G116" s="143">
        <f t="shared" si="0"/>
        <v>0</v>
      </c>
      <c r="H116" s="152"/>
      <c r="I116" s="152"/>
      <c r="J116" s="152"/>
      <c r="K116" s="152"/>
      <c r="L116" s="137"/>
      <c r="M116" s="52"/>
      <c r="P116" s="115"/>
    </row>
    <row r="117" spans="3:16" ht="12.75">
      <c r="C117" s="130"/>
      <c r="D117" s="107" t="s">
        <v>441</v>
      </c>
      <c r="E117" s="71" t="s">
        <v>295</v>
      </c>
      <c r="F117" s="68" t="s">
        <v>296</v>
      </c>
      <c r="G117" s="143">
        <f t="shared" si="0"/>
        <v>0</v>
      </c>
      <c r="H117" s="152"/>
      <c r="I117" s="152"/>
      <c r="J117" s="152"/>
      <c r="K117" s="152"/>
      <c r="L117" s="137"/>
      <c r="M117" s="52"/>
      <c r="P117" s="115"/>
    </row>
    <row r="118" spans="3:16" ht="45">
      <c r="C118" s="130"/>
      <c r="D118" s="107" t="s">
        <v>442</v>
      </c>
      <c r="E118" s="71" t="s">
        <v>479</v>
      </c>
      <c r="F118" s="68" t="s">
        <v>297</v>
      </c>
      <c r="G118" s="143">
        <f t="shared" si="0"/>
        <v>0</v>
      </c>
      <c r="H118" s="152"/>
      <c r="I118" s="152"/>
      <c r="J118" s="152"/>
      <c r="K118" s="152"/>
      <c r="L118" s="137"/>
      <c r="M118" s="52"/>
      <c r="P118" s="115"/>
    </row>
    <row r="119" spans="3:16" ht="22.5">
      <c r="C119" s="130"/>
      <c r="D119" s="107" t="s">
        <v>443</v>
      </c>
      <c r="E119" s="71" t="s">
        <v>298</v>
      </c>
      <c r="F119" s="68" t="s">
        <v>299</v>
      </c>
      <c r="G119" s="143">
        <f t="shared" si="0"/>
        <v>0</v>
      </c>
      <c r="H119" s="152"/>
      <c r="I119" s="152"/>
      <c r="J119" s="152"/>
      <c r="K119" s="152"/>
      <c r="L119" s="137"/>
      <c r="M119" s="52"/>
      <c r="P119" s="115"/>
    </row>
    <row r="120" spans="3:16" ht="12.75">
      <c r="C120" s="130"/>
      <c r="D120" s="107" t="s">
        <v>444</v>
      </c>
      <c r="E120" s="67" t="s">
        <v>515</v>
      </c>
      <c r="F120" s="68" t="s">
        <v>300</v>
      </c>
      <c r="G120" s="143">
        <f t="shared" si="0"/>
        <v>0</v>
      </c>
      <c r="H120" s="153">
        <f>H123</f>
        <v>0</v>
      </c>
      <c r="I120" s="153">
        <f>I123</f>
        <v>0</v>
      </c>
      <c r="J120" s="153">
        <f>J123</f>
        <v>0</v>
      </c>
      <c r="K120" s="153">
        <f>K123</f>
        <v>0</v>
      </c>
      <c r="L120" s="137"/>
      <c r="M120" s="52"/>
      <c r="P120" s="115">
        <v>770</v>
      </c>
    </row>
    <row r="121" spans="3:16" ht="12.75">
      <c r="C121" s="130"/>
      <c r="D121" s="107" t="s">
        <v>445</v>
      </c>
      <c r="E121" s="69" t="s">
        <v>508</v>
      </c>
      <c r="F121" s="68" t="s">
        <v>301</v>
      </c>
      <c r="G121" s="143">
        <f t="shared" si="0"/>
        <v>0</v>
      </c>
      <c r="H121" s="152"/>
      <c r="I121" s="152"/>
      <c r="J121" s="152"/>
      <c r="K121" s="152"/>
      <c r="L121" s="137"/>
      <c r="M121" s="52"/>
      <c r="P121" s="115">
        <v>780</v>
      </c>
    </row>
    <row r="122" spans="3:16" ht="12.75">
      <c r="C122" s="130"/>
      <c r="D122" s="107" t="s">
        <v>446</v>
      </c>
      <c r="E122" s="71" t="s">
        <v>516</v>
      </c>
      <c r="F122" s="68" t="s">
        <v>302</v>
      </c>
      <c r="G122" s="143">
        <f t="shared" si="0"/>
        <v>0</v>
      </c>
      <c r="H122" s="152"/>
      <c r="I122" s="152"/>
      <c r="J122" s="152"/>
      <c r="K122" s="152"/>
      <c r="L122" s="137"/>
      <c r="M122" s="52"/>
      <c r="P122" s="115"/>
    </row>
    <row r="123" spans="3:16" ht="12.75">
      <c r="C123" s="130"/>
      <c r="D123" s="107" t="s">
        <v>447</v>
      </c>
      <c r="E123" s="69" t="s">
        <v>478</v>
      </c>
      <c r="F123" s="68" t="s">
        <v>303</v>
      </c>
      <c r="G123" s="143">
        <f t="shared" si="0"/>
        <v>0</v>
      </c>
      <c r="H123" s="152"/>
      <c r="I123" s="152"/>
      <c r="J123" s="152"/>
      <c r="K123" s="152"/>
      <c r="L123" s="137"/>
      <c r="M123" s="52"/>
      <c r="P123" s="115">
        <v>790</v>
      </c>
    </row>
    <row r="124" spans="3:16" ht="22.5">
      <c r="C124" s="130"/>
      <c r="D124" s="107" t="s">
        <v>448</v>
      </c>
      <c r="E124" s="89" t="s">
        <v>517</v>
      </c>
      <c r="F124" s="68" t="s">
        <v>304</v>
      </c>
      <c r="G124" s="143">
        <f t="shared" si="0"/>
        <v>7013.9030000000002</v>
      </c>
      <c r="H124" s="153">
        <f>SUM(H125:H126)</f>
        <v>7.0000000000000007E-2</v>
      </c>
      <c r="I124" s="153">
        <f>SUM(I125:I126)</f>
        <v>3915.9369999999999</v>
      </c>
      <c r="J124" s="153">
        <f>SUM(J125:J126)</f>
        <v>2173.9879999999998</v>
      </c>
      <c r="K124" s="153">
        <f>SUM(K125:K126)</f>
        <v>923.90800000000002</v>
      </c>
      <c r="L124" s="137"/>
      <c r="M124" s="52"/>
      <c r="P124" s="115"/>
    </row>
    <row r="125" spans="3:16" ht="12.75">
      <c r="C125" s="130"/>
      <c r="D125" s="107" t="s">
        <v>449</v>
      </c>
      <c r="E125" s="67" t="s">
        <v>167</v>
      </c>
      <c r="F125" s="68" t="s">
        <v>305</v>
      </c>
      <c r="G125" s="143">
        <f t="shared" si="0"/>
        <v>0</v>
      </c>
      <c r="H125" s="152"/>
      <c r="I125" s="152"/>
      <c r="J125" s="152"/>
      <c r="K125" s="152"/>
      <c r="L125" s="137"/>
      <c r="M125" s="52"/>
      <c r="P125" s="115"/>
    </row>
    <row r="126" spans="3:16" ht="12.75">
      <c r="C126" s="130"/>
      <c r="D126" s="107" t="s">
        <v>450</v>
      </c>
      <c r="E126" s="67" t="s">
        <v>507</v>
      </c>
      <c r="F126" s="68" t="s">
        <v>306</v>
      </c>
      <c r="G126" s="143">
        <f t="shared" si="0"/>
        <v>7013.9030000000002</v>
      </c>
      <c r="H126" s="153">
        <f>H128</f>
        <v>7.0000000000000007E-2</v>
      </c>
      <c r="I126" s="153">
        <f>I128</f>
        <v>3915.9369999999999</v>
      </c>
      <c r="J126" s="153">
        <f>J128</f>
        <v>2173.9879999999998</v>
      </c>
      <c r="K126" s="153">
        <f>K128</f>
        <v>923.90800000000002</v>
      </c>
      <c r="L126" s="137"/>
      <c r="M126" s="52"/>
      <c r="P126" s="115"/>
    </row>
    <row r="127" spans="3:16" ht="12.75">
      <c r="C127" s="130"/>
      <c r="D127" s="107" t="s">
        <v>451</v>
      </c>
      <c r="E127" s="69" t="s">
        <v>272</v>
      </c>
      <c r="F127" s="68" t="s">
        <v>307</v>
      </c>
      <c r="G127" s="143">
        <f t="shared" si="0"/>
        <v>56.423000000000002</v>
      </c>
      <c r="H127" s="152"/>
      <c r="I127" s="152">
        <f>I94</f>
        <v>56.423000000000002</v>
      </c>
      <c r="J127" s="152"/>
      <c r="K127" s="152"/>
      <c r="L127" s="137"/>
      <c r="M127" s="52"/>
      <c r="P127" s="115"/>
    </row>
    <row r="128" spans="3:16" ht="12.75">
      <c r="C128" s="130"/>
      <c r="D128" s="107" t="s">
        <v>452</v>
      </c>
      <c r="E128" s="69" t="s">
        <v>478</v>
      </c>
      <c r="F128" s="68" t="s">
        <v>308</v>
      </c>
      <c r="G128" s="143">
        <f t="shared" si="0"/>
        <v>7013.9030000000002</v>
      </c>
      <c r="H128" s="152">
        <f>H48+H34</f>
        <v>7.0000000000000007E-2</v>
      </c>
      <c r="I128" s="152">
        <f>I34+111.12</f>
        <v>3915.9369999999999</v>
      </c>
      <c r="J128" s="152">
        <f>J34+13.249+7.926</f>
        <v>2173.9879999999998</v>
      </c>
      <c r="K128" s="152">
        <f>K34</f>
        <v>923.90800000000002</v>
      </c>
      <c r="L128" s="137"/>
      <c r="M128" s="52"/>
      <c r="P128" s="115"/>
    </row>
    <row r="129" spans="3:16" ht="12.75">
      <c r="C129" s="130"/>
      <c r="D129" s="174" t="s">
        <v>203</v>
      </c>
      <c r="E129" s="175"/>
      <c r="F129" s="175"/>
      <c r="G129" s="175"/>
      <c r="H129" s="175"/>
      <c r="I129" s="175"/>
      <c r="J129" s="175"/>
      <c r="K129" s="176"/>
      <c r="L129" s="137"/>
      <c r="M129" s="52"/>
      <c r="P129" s="117"/>
    </row>
    <row r="130" spans="3:16" ht="22.5">
      <c r="C130" s="130"/>
      <c r="D130" s="107" t="s">
        <v>453</v>
      </c>
      <c r="E130" s="88" t="s">
        <v>518</v>
      </c>
      <c r="F130" s="68" t="s">
        <v>309</v>
      </c>
      <c r="G130" s="143">
        <f t="shared" si="0"/>
        <v>0</v>
      </c>
      <c r="H130" s="153">
        <f>SUM( H131:H132)</f>
        <v>0</v>
      </c>
      <c r="I130" s="153">
        <f>SUM( I131:I132)</f>
        <v>0</v>
      </c>
      <c r="J130" s="153">
        <f>SUM( J131:J132)</f>
        <v>0</v>
      </c>
      <c r="K130" s="153">
        <f>SUM( K131:K132)</f>
        <v>0</v>
      </c>
      <c r="L130" s="137"/>
      <c r="M130" s="52"/>
      <c r="P130" s="115">
        <v>800</v>
      </c>
    </row>
    <row r="131" spans="3:16" ht="12.75">
      <c r="C131" s="130"/>
      <c r="D131" s="107" t="s">
        <v>454</v>
      </c>
      <c r="E131" s="67" t="s">
        <v>167</v>
      </c>
      <c r="F131" s="68" t="s">
        <v>310</v>
      </c>
      <c r="G131" s="143">
        <f t="shared" si="0"/>
        <v>0</v>
      </c>
      <c r="H131" s="152"/>
      <c r="I131" s="152"/>
      <c r="J131" s="152"/>
      <c r="K131" s="152"/>
      <c r="L131" s="137"/>
      <c r="M131" s="52"/>
      <c r="P131" s="115">
        <v>810</v>
      </c>
    </row>
    <row r="132" spans="3:16" ht="12.75">
      <c r="C132" s="130"/>
      <c r="D132" s="107" t="s">
        <v>455</v>
      </c>
      <c r="E132" s="67" t="s">
        <v>507</v>
      </c>
      <c r="F132" s="68" t="s">
        <v>311</v>
      </c>
      <c r="G132" s="143">
        <f t="shared" si="0"/>
        <v>0</v>
      </c>
      <c r="H132" s="153">
        <f>H133+H135</f>
        <v>0</v>
      </c>
      <c r="I132" s="153">
        <f>I133+I135</f>
        <v>0</v>
      </c>
      <c r="J132" s="153">
        <f>J133+J135</f>
        <v>0</v>
      </c>
      <c r="K132" s="153">
        <f>K133+K135</f>
        <v>0</v>
      </c>
      <c r="L132" s="137"/>
      <c r="M132" s="52"/>
      <c r="P132" s="115">
        <v>820</v>
      </c>
    </row>
    <row r="133" spans="3:16" ht="12.75">
      <c r="C133" s="130"/>
      <c r="D133" s="107" t="s">
        <v>456</v>
      </c>
      <c r="E133" s="69" t="s">
        <v>519</v>
      </c>
      <c r="F133" s="68" t="s">
        <v>312</v>
      </c>
      <c r="G133" s="143">
        <f t="shared" si="0"/>
        <v>0</v>
      </c>
      <c r="H133" s="152"/>
      <c r="I133" s="152"/>
      <c r="J133" s="152"/>
      <c r="K133" s="152"/>
      <c r="L133" s="137"/>
      <c r="M133" s="52"/>
      <c r="P133" s="115">
        <v>830</v>
      </c>
    </row>
    <row r="134" spans="3:16" ht="12.75">
      <c r="C134" s="130"/>
      <c r="D134" s="107" t="s">
        <v>457</v>
      </c>
      <c r="E134" s="71" t="s">
        <v>520</v>
      </c>
      <c r="F134" s="68" t="s">
        <v>313</v>
      </c>
      <c r="G134" s="143">
        <f t="shared" si="0"/>
        <v>0</v>
      </c>
      <c r="H134" s="152"/>
      <c r="I134" s="152"/>
      <c r="J134" s="152"/>
      <c r="K134" s="152"/>
      <c r="L134" s="137"/>
      <c r="M134" s="52"/>
      <c r="P134" s="117"/>
    </row>
    <row r="135" spans="3:16" ht="12.75">
      <c r="C135" s="130"/>
      <c r="D135" s="107" t="s">
        <v>458</v>
      </c>
      <c r="E135" s="69" t="s">
        <v>169</v>
      </c>
      <c r="F135" s="68" t="s">
        <v>314</v>
      </c>
      <c r="G135" s="143">
        <f t="shared" si="0"/>
        <v>0</v>
      </c>
      <c r="H135" s="152"/>
      <c r="I135" s="152"/>
      <c r="J135" s="152"/>
      <c r="K135" s="152"/>
      <c r="L135" s="137"/>
      <c r="M135" s="52"/>
      <c r="P135" s="115">
        <v>840</v>
      </c>
    </row>
    <row r="136" spans="3:16" ht="12.75">
      <c r="C136" s="130"/>
      <c r="D136" s="107" t="s">
        <v>336</v>
      </c>
      <c r="E136" s="88" t="s">
        <v>521</v>
      </c>
      <c r="F136" s="68" t="s">
        <v>315</v>
      </c>
      <c r="G136" s="143">
        <f t="shared" si="0"/>
        <v>0</v>
      </c>
      <c r="H136" s="154">
        <f>SUM( H137+H142)</f>
        <v>0</v>
      </c>
      <c r="I136" s="154">
        <f>SUM( I137+I142)</f>
        <v>0</v>
      </c>
      <c r="J136" s="154">
        <f>SUM( J137+J142)</f>
        <v>0</v>
      </c>
      <c r="K136" s="154">
        <f>SUM( K137+K142)</f>
        <v>0</v>
      </c>
      <c r="L136" s="155"/>
      <c r="M136" s="52"/>
      <c r="P136" s="115">
        <v>850</v>
      </c>
    </row>
    <row r="137" spans="3:16" ht="12.75">
      <c r="C137" s="130"/>
      <c r="D137" s="107" t="s">
        <v>459</v>
      </c>
      <c r="E137" s="67" t="s">
        <v>167</v>
      </c>
      <c r="F137" s="68" t="s">
        <v>316</v>
      </c>
      <c r="G137" s="143">
        <f t="shared" ref="G137:G150" si="1">SUM(H137:K137)</f>
        <v>0</v>
      </c>
      <c r="H137" s="154">
        <f>SUM( H138:H139)</f>
        <v>0</v>
      </c>
      <c r="I137" s="154">
        <f>SUM( I138:I139)</f>
        <v>0</v>
      </c>
      <c r="J137" s="154">
        <f>SUM( J138:J139)</f>
        <v>0</v>
      </c>
      <c r="K137" s="154">
        <f>SUM( K138:K139)</f>
        <v>0</v>
      </c>
      <c r="L137" s="155"/>
      <c r="M137" s="52"/>
      <c r="P137" s="115">
        <v>860</v>
      </c>
    </row>
    <row r="138" spans="3:16" ht="12.75">
      <c r="C138" s="130"/>
      <c r="D138" s="107" t="s">
        <v>460</v>
      </c>
      <c r="E138" s="69" t="s">
        <v>222</v>
      </c>
      <c r="F138" s="68" t="s">
        <v>317</v>
      </c>
      <c r="G138" s="143">
        <f t="shared" si="1"/>
        <v>0</v>
      </c>
      <c r="H138" s="156"/>
      <c r="I138" s="156"/>
      <c r="J138" s="156"/>
      <c r="K138" s="156"/>
      <c r="L138" s="155"/>
      <c r="M138" s="52"/>
      <c r="P138" s="115"/>
    </row>
    <row r="139" spans="3:16" ht="12.75">
      <c r="C139" s="130"/>
      <c r="D139" s="107" t="s">
        <v>461</v>
      </c>
      <c r="E139" s="69" t="s">
        <v>511</v>
      </c>
      <c r="F139" s="68" t="s">
        <v>318</v>
      </c>
      <c r="G139" s="143">
        <f t="shared" si="1"/>
        <v>0</v>
      </c>
      <c r="H139" s="154">
        <f>H140+H141</f>
        <v>0</v>
      </c>
      <c r="I139" s="154">
        <f>I140+I141</f>
        <v>0</v>
      </c>
      <c r="J139" s="154">
        <f>J140+J141</f>
        <v>0</v>
      </c>
      <c r="K139" s="154">
        <f>K140+K141</f>
        <v>0</v>
      </c>
      <c r="L139" s="155"/>
      <c r="M139" s="52"/>
      <c r="P139" s="115"/>
    </row>
    <row r="140" spans="3:16" ht="12.75">
      <c r="C140" s="130"/>
      <c r="D140" s="107" t="s">
        <v>462</v>
      </c>
      <c r="E140" s="71" t="s">
        <v>283</v>
      </c>
      <c r="F140" s="68" t="s">
        <v>319</v>
      </c>
      <c r="G140" s="143">
        <f t="shared" si="1"/>
        <v>0</v>
      </c>
      <c r="H140" s="156"/>
      <c r="I140" s="156"/>
      <c r="J140" s="156"/>
      <c r="K140" s="156"/>
      <c r="L140" s="155"/>
      <c r="M140" s="52"/>
      <c r="P140" s="115"/>
    </row>
    <row r="141" spans="3:16" ht="12.75">
      <c r="C141" s="130"/>
      <c r="D141" s="107" t="s">
        <v>463</v>
      </c>
      <c r="E141" s="71" t="s">
        <v>320</v>
      </c>
      <c r="F141" s="68" t="s">
        <v>321</v>
      </c>
      <c r="G141" s="143">
        <f t="shared" si="1"/>
        <v>0</v>
      </c>
      <c r="H141" s="156"/>
      <c r="I141" s="156"/>
      <c r="J141" s="156"/>
      <c r="K141" s="156"/>
      <c r="L141" s="155"/>
      <c r="M141" s="52"/>
      <c r="P141" s="115"/>
    </row>
    <row r="142" spans="3:16" ht="12.75">
      <c r="C142" s="130"/>
      <c r="D142" s="107" t="s">
        <v>464</v>
      </c>
      <c r="E142" s="67" t="s">
        <v>515</v>
      </c>
      <c r="F142" s="68" t="s">
        <v>322</v>
      </c>
      <c r="G142" s="143">
        <f t="shared" si="1"/>
        <v>0</v>
      </c>
      <c r="H142" s="154">
        <f>H143+H145</f>
        <v>0</v>
      </c>
      <c r="I142" s="154">
        <f>I143+I145</f>
        <v>0</v>
      </c>
      <c r="J142" s="154">
        <f>J143+J145</f>
        <v>0</v>
      </c>
      <c r="K142" s="154">
        <f>K143+K145</f>
        <v>0</v>
      </c>
      <c r="L142" s="155"/>
      <c r="M142" s="52"/>
      <c r="P142" s="115">
        <v>870</v>
      </c>
    </row>
    <row r="143" spans="3:16" ht="12.75">
      <c r="C143" s="130"/>
      <c r="D143" s="107" t="s">
        <v>465</v>
      </c>
      <c r="E143" s="69" t="s">
        <v>519</v>
      </c>
      <c r="F143" s="68" t="s">
        <v>323</v>
      </c>
      <c r="G143" s="143">
        <f t="shared" si="1"/>
        <v>0</v>
      </c>
      <c r="H143" s="152"/>
      <c r="I143" s="152"/>
      <c r="J143" s="152"/>
      <c r="K143" s="152"/>
      <c r="L143" s="155"/>
      <c r="M143" s="52"/>
      <c r="P143" s="115">
        <v>880</v>
      </c>
    </row>
    <row r="144" spans="3:16" ht="12.75">
      <c r="C144" s="130"/>
      <c r="D144" s="107" t="s">
        <v>466</v>
      </c>
      <c r="E144" s="71" t="s">
        <v>520</v>
      </c>
      <c r="F144" s="68" t="s">
        <v>324</v>
      </c>
      <c r="G144" s="143">
        <f t="shared" si="1"/>
        <v>0</v>
      </c>
      <c r="H144" s="152"/>
      <c r="I144" s="152"/>
      <c r="J144" s="152"/>
      <c r="K144" s="152"/>
      <c r="L144" s="155"/>
      <c r="M144" s="52"/>
      <c r="P144" s="115"/>
    </row>
    <row r="145" spans="3:19" ht="12.75">
      <c r="C145" s="130"/>
      <c r="D145" s="107" t="s">
        <v>467</v>
      </c>
      <c r="E145" s="69" t="s">
        <v>169</v>
      </c>
      <c r="F145" s="68" t="s">
        <v>325</v>
      </c>
      <c r="G145" s="143">
        <f t="shared" si="1"/>
        <v>0</v>
      </c>
      <c r="H145" s="157"/>
      <c r="I145" s="157"/>
      <c r="J145" s="157"/>
      <c r="K145" s="157"/>
      <c r="L145" s="155"/>
      <c r="M145" s="52"/>
      <c r="P145" s="115">
        <v>890</v>
      </c>
    </row>
    <row r="146" spans="3:19" ht="22.5">
      <c r="C146" s="130"/>
      <c r="D146" s="107" t="s">
        <v>468</v>
      </c>
      <c r="E146" s="88" t="s">
        <v>522</v>
      </c>
      <c r="F146" s="68" t="s">
        <v>326</v>
      </c>
      <c r="G146" s="143">
        <f t="shared" si="1"/>
        <v>4194.2799767760007</v>
      </c>
      <c r="H146" s="158">
        <f>SUM( H147:H148)</f>
        <v>6.8712000000000001E-3</v>
      </c>
      <c r="I146" s="158">
        <f>SUM( I147:I148)</f>
        <v>3890.183634216</v>
      </c>
      <c r="J146" s="158">
        <f>SUM( J147:J148)</f>
        <v>213.39866207999998</v>
      </c>
      <c r="K146" s="158">
        <f>SUM( K147:K148)</f>
        <v>90.690809279999996</v>
      </c>
      <c r="L146" s="155"/>
      <c r="M146" s="52"/>
      <c r="P146" s="115">
        <v>900</v>
      </c>
    </row>
    <row r="147" spans="3:19" ht="12.75">
      <c r="C147" s="130"/>
      <c r="D147" s="107" t="s">
        <v>469</v>
      </c>
      <c r="E147" s="67" t="s">
        <v>167</v>
      </c>
      <c r="F147" s="68" t="s">
        <v>327</v>
      </c>
      <c r="G147" s="143">
        <f t="shared" si="1"/>
        <v>0</v>
      </c>
      <c r="H147" s="157"/>
      <c r="I147" s="157"/>
      <c r="J147" s="157"/>
      <c r="K147" s="157"/>
      <c r="L147" s="155"/>
      <c r="M147" s="52"/>
      <c r="P147" s="115"/>
    </row>
    <row r="148" spans="3:19" ht="12.75">
      <c r="C148" s="130"/>
      <c r="D148" s="107" t="s">
        <v>470</v>
      </c>
      <c r="E148" s="67" t="s">
        <v>507</v>
      </c>
      <c r="F148" s="68" t="s">
        <v>328</v>
      </c>
      <c r="G148" s="143">
        <f t="shared" si="1"/>
        <v>4194.2799767760007</v>
      </c>
      <c r="H148" s="158">
        <f>H149+H150</f>
        <v>6.8712000000000001E-3</v>
      </c>
      <c r="I148" s="158">
        <f>I149+I150</f>
        <v>3890.183634216</v>
      </c>
      <c r="J148" s="158">
        <f>J149+J150</f>
        <v>213.39866207999998</v>
      </c>
      <c r="K148" s="158">
        <f>K149+K150</f>
        <v>90.690809279999996</v>
      </c>
      <c r="L148" s="155"/>
      <c r="M148" s="52"/>
      <c r="P148" s="115"/>
    </row>
    <row r="149" spans="3:19" ht="12.75">
      <c r="C149" s="130"/>
      <c r="D149" s="107" t="s">
        <v>471</v>
      </c>
      <c r="E149" s="69" t="s">
        <v>168</v>
      </c>
      <c r="F149" s="68" t="s">
        <v>331</v>
      </c>
      <c r="G149" s="143">
        <f t="shared" si="1"/>
        <v>3505.7952582960002</v>
      </c>
      <c r="H149" s="157"/>
      <c r="I149" s="157">
        <f>I127*51778.46/1000*1.2</f>
        <v>3505.7952582960002</v>
      </c>
      <c r="J149" s="157"/>
      <c r="K149" s="157"/>
      <c r="L149" s="155"/>
      <c r="M149" s="52"/>
      <c r="P149" s="115" t="s">
        <v>329</v>
      </c>
    </row>
    <row r="150" spans="3:19" ht="12.75">
      <c r="C150" s="130"/>
      <c r="D150" s="107" t="s">
        <v>472</v>
      </c>
      <c r="E150" s="69" t="s">
        <v>169</v>
      </c>
      <c r="F150" s="68" t="s">
        <v>332</v>
      </c>
      <c r="G150" s="143">
        <f t="shared" si="1"/>
        <v>688.48471847999986</v>
      </c>
      <c r="H150" s="157">
        <f>H128*81.8/1000*1.2</f>
        <v>6.8712000000000001E-3</v>
      </c>
      <c r="I150" s="157">
        <f>I128*81.8/1000*1.2</f>
        <v>384.38837591999993</v>
      </c>
      <c r="J150" s="157">
        <f>J128*81.8/1000*1.2</f>
        <v>213.39866207999998</v>
      </c>
      <c r="K150" s="157">
        <f>K128*81.8/1000*1.2</f>
        <v>90.690809279999996</v>
      </c>
      <c r="L150" s="155"/>
      <c r="M150" s="52"/>
      <c r="P150" s="115" t="s">
        <v>330</v>
      </c>
    </row>
    <row r="151" spans="3:19">
      <c r="D151" s="135"/>
      <c r="E151" s="159"/>
      <c r="F151" s="159"/>
      <c r="G151" s="159"/>
      <c r="H151" s="159"/>
      <c r="I151" s="159"/>
      <c r="J151" s="159"/>
      <c r="K151" s="160"/>
      <c r="L151" s="160"/>
      <c r="M151" s="160"/>
      <c r="N151" s="160"/>
      <c r="O151" s="160"/>
      <c r="P151" s="160"/>
      <c r="Q151" s="160"/>
      <c r="R151" s="161"/>
      <c r="S151" s="161"/>
    </row>
    <row r="152" spans="3:19" ht="12.75">
      <c r="E152" s="52" t="s">
        <v>204</v>
      </c>
      <c r="F152" s="180" t="str">
        <f>IF([1]Титульный!G45="","",[1]Титульный!G45)</f>
        <v>экономист</v>
      </c>
      <c r="G152" s="180"/>
      <c r="H152" s="53"/>
      <c r="I152" s="180" t="s">
        <v>2135</v>
      </c>
      <c r="J152" s="180"/>
      <c r="K152" s="180"/>
      <c r="L152" s="53"/>
      <c r="M152" s="55"/>
      <c r="N152" s="55"/>
      <c r="O152" s="54"/>
      <c r="P152" s="160"/>
      <c r="Q152" s="160"/>
      <c r="R152" s="161"/>
      <c r="S152" s="161"/>
    </row>
    <row r="153" spans="3:19" ht="12.75">
      <c r="E153" s="56" t="s">
        <v>205</v>
      </c>
      <c r="F153" s="181" t="s">
        <v>176</v>
      </c>
      <c r="G153" s="181"/>
      <c r="H153" s="54"/>
      <c r="I153" s="181" t="s">
        <v>174</v>
      </c>
      <c r="J153" s="181"/>
      <c r="K153" s="181"/>
      <c r="L153" s="54"/>
      <c r="M153" s="181" t="s">
        <v>175</v>
      </c>
      <c r="N153" s="181"/>
      <c r="O153" s="52"/>
      <c r="P153" s="160"/>
      <c r="Q153" s="160"/>
      <c r="R153" s="161"/>
      <c r="S153" s="161"/>
    </row>
    <row r="154" spans="3:19" ht="12.75">
      <c r="E154" s="56" t="s">
        <v>206</v>
      </c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160"/>
      <c r="Q154" s="160"/>
      <c r="R154" s="161"/>
      <c r="S154" s="161"/>
    </row>
    <row r="155" spans="3:19" ht="12.75">
      <c r="E155" s="56" t="s">
        <v>207</v>
      </c>
      <c r="F155" s="180" t="str">
        <f>IF([1]Титульный!G46="","",[1]Титульный!G46)</f>
        <v>(861) 258-50-71</v>
      </c>
      <c r="G155" s="180"/>
      <c r="H155" s="180"/>
      <c r="I155" s="52"/>
      <c r="J155" s="56" t="s">
        <v>177</v>
      </c>
      <c r="K155" s="123"/>
      <c r="L155" s="52"/>
      <c r="M155" s="52"/>
      <c r="N155" s="52"/>
      <c r="O155" s="52"/>
      <c r="P155" s="160"/>
      <c r="Q155" s="160"/>
      <c r="R155" s="161"/>
      <c r="S155" s="161"/>
    </row>
    <row r="156" spans="3:19" ht="12.75">
      <c r="E156" s="52" t="s">
        <v>208</v>
      </c>
      <c r="F156" s="182" t="s">
        <v>178</v>
      </c>
      <c r="G156" s="182"/>
      <c r="H156" s="182"/>
      <c r="I156" s="52"/>
      <c r="J156" s="57" t="s">
        <v>179</v>
      </c>
      <c r="K156" s="57"/>
      <c r="L156" s="52"/>
      <c r="M156" s="52"/>
      <c r="N156" s="52"/>
      <c r="O156" s="52"/>
      <c r="P156" s="160"/>
      <c r="Q156" s="160"/>
      <c r="R156" s="161"/>
      <c r="S156" s="161"/>
    </row>
    <row r="157" spans="3:19"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1"/>
      <c r="S157" s="161"/>
    </row>
    <row r="158" spans="3:19"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1"/>
      <c r="S158" s="161"/>
    </row>
    <row r="159" spans="3:19"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1"/>
      <c r="S159" s="161"/>
    </row>
    <row r="160" spans="3:19"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1"/>
      <c r="S160" s="161"/>
    </row>
    <row r="161" spans="5:19"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1"/>
      <c r="S161" s="161"/>
    </row>
    <row r="162" spans="5:19"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1"/>
      <c r="S162" s="161"/>
    </row>
    <row r="163" spans="5:19"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1"/>
      <c r="S163" s="161"/>
    </row>
    <row r="164" spans="5:19"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1"/>
      <c r="S164" s="161"/>
    </row>
    <row r="165" spans="5:19">
      <c r="E165" s="160"/>
      <c r="F165" s="160"/>
      <c r="G165" s="160"/>
      <c r="H165" s="160"/>
      <c r="I165" s="160"/>
      <c r="J165" s="160"/>
      <c r="K165" s="160"/>
      <c r="L165" s="160"/>
      <c r="M165" s="160"/>
      <c r="N165" s="160"/>
      <c r="O165" s="160"/>
      <c r="P165" s="160"/>
      <c r="Q165" s="160"/>
      <c r="R165" s="161"/>
      <c r="S165" s="161"/>
    </row>
    <row r="166" spans="5:19">
      <c r="E166" s="160"/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1"/>
      <c r="S166" s="161"/>
    </row>
    <row r="167" spans="5:19"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1"/>
      <c r="S167" s="161"/>
    </row>
    <row r="168" spans="5:19"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1"/>
      <c r="S168" s="161"/>
    </row>
    <row r="169" spans="5:19"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1"/>
      <c r="S169" s="161"/>
    </row>
    <row r="170" spans="5:19"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1"/>
      <c r="S170" s="161"/>
    </row>
    <row r="171" spans="5:19"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1"/>
      <c r="S171" s="161"/>
    </row>
    <row r="172" spans="5:19"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1"/>
      <c r="S172" s="161"/>
    </row>
    <row r="173" spans="5:19"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1"/>
      <c r="S173" s="161"/>
    </row>
    <row r="174" spans="5:19"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1"/>
      <c r="S174" s="161"/>
    </row>
    <row r="175" spans="5:19"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1"/>
      <c r="S175" s="161"/>
    </row>
    <row r="176" spans="5:19"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1"/>
      <c r="S176" s="161"/>
    </row>
    <row r="177" spans="5:19"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1"/>
      <c r="S177" s="161"/>
    </row>
    <row r="178" spans="5:19"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1"/>
      <c r="S178" s="161"/>
    </row>
    <row r="179" spans="5:19"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1"/>
      <c r="S179" s="161"/>
    </row>
    <row r="180" spans="5:19"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1"/>
      <c r="S180" s="161"/>
    </row>
    <row r="181" spans="5:19"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1"/>
      <c r="S181" s="161"/>
    </row>
    <row r="182" spans="5:19"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</row>
    <row r="183" spans="5:19">
      <c r="E183" s="161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</row>
    <row r="184" spans="5:19"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</row>
    <row r="185" spans="5:19"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  <c r="P185" s="161"/>
      <c r="Q185" s="161"/>
      <c r="R185" s="161"/>
      <c r="S185" s="161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42 E25:E26 E81 E64:E65"/>
    <dataValidation type="decimal" allowBlank="1" showErrorMessage="1" errorTitle="Ошибка" error="Допускается ввод только действительных чисел!" sqref="G62:K65 G93:K95 G67:K81 G15:K18 G83:K91 G97:K128 G23:K26 G44:K52 G28:K42 G130:K150 G59:K60 G20:K21 G54:K57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C185"/>
  <sheetViews>
    <sheetView topLeftCell="C120" workbookViewId="0">
      <selection activeCell="J26" sqref="J26"/>
    </sheetView>
  </sheetViews>
  <sheetFormatPr defaultRowHeight="11.25"/>
  <cols>
    <col min="1" max="2" width="9.140625" style="125" hidden="1" customWidth="1"/>
    <col min="3" max="3" width="4.140625" style="125" customWidth="1"/>
    <col min="4" max="4" width="9.140625" style="125" customWidth="1"/>
    <col min="5" max="5" width="69" style="125" customWidth="1"/>
    <col min="6" max="6" width="6.7109375" style="125" customWidth="1"/>
    <col min="7" max="11" width="15.7109375" style="125" customWidth="1"/>
    <col min="12" max="12" width="6.7109375" style="125" customWidth="1"/>
    <col min="13" max="16" width="15.7109375" style="125" customWidth="1"/>
    <col min="17" max="35" width="11.7109375" style="125" customWidth="1"/>
    <col min="36" max="16384" width="9.140625" style="125"/>
  </cols>
  <sheetData>
    <row r="1" spans="1:81" hidden="1">
      <c r="S1" s="126"/>
      <c r="T1" s="126"/>
      <c r="U1" s="126"/>
      <c r="V1" s="126"/>
      <c r="Y1" s="126"/>
      <c r="AA1" s="126"/>
      <c r="AN1" s="126"/>
      <c r="AO1" s="126"/>
      <c r="AP1" s="126"/>
      <c r="BC1" s="126"/>
      <c r="BF1" s="126"/>
      <c r="BG1" s="126"/>
      <c r="BI1" s="126"/>
      <c r="BM1" s="126"/>
      <c r="BO1" s="126"/>
      <c r="BX1" s="126"/>
      <c r="BY1" s="126"/>
      <c r="CC1" s="126"/>
    </row>
    <row r="2" spans="1:81" hidden="1"/>
    <row r="3" spans="1:81" hidden="1"/>
    <row r="4" spans="1:81" hidden="1">
      <c r="A4" s="127"/>
      <c r="F4" s="128"/>
      <c r="G4" s="128"/>
      <c r="H4" s="128"/>
      <c r="I4" s="128"/>
      <c r="J4" s="128"/>
      <c r="K4" s="128"/>
      <c r="M4" s="128"/>
      <c r="N4" s="128"/>
      <c r="O4" s="128"/>
      <c r="P4" s="128"/>
      <c r="Q4" s="128"/>
    </row>
    <row r="5" spans="1:81" hidden="1">
      <c r="A5" s="129"/>
      <c r="F5" s="125" t="s">
        <v>142</v>
      </c>
      <c r="G5" s="125" t="s">
        <v>143</v>
      </c>
      <c r="H5" s="125" t="s">
        <v>144</v>
      </c>
      <c r="I5" s="125" t="s">
        <v>145</v>
      </c>
      <c r="J5" s="125" t="s">
        <v>146</v>
      </c>
      <c r="K5" s="125" t="s">
        <v>147</v>
      </c>
      <c r="L5" s="125" t="s">
        <v>148</v>
      </c>
      <c r="M5" s="125" t="s">
        <v>149</v>
      </c>
      <c r="N5" s="125" t="s">
        <v>149</v>
      </c>
      <c r="O5" s="125" t="s">
        <v>150</v>
      </c>
      <c r="P5" s="125" t="s">
        <v>151</v>
      </c>
      <c r="Q5" s="125" t="s">
        <v>152</v>
      </c>
    </row>
    <row r="6" spans="1:81" hidden="1">
      <c r="A6" s="129"/>
    </row>
    <row r="7" spans="1:81" ht="12" customHeight="1">
      <c r="A7" s="129"/>
      <c r="D7" s="130"/>
      <c r="E7" s="130"/>
      <c r="F7" s="130"/>
      <c r="G7" s="130"/>
      <c r="H7" s="130"/>
      <c r="I7" s="130"/>
      <c r="J7" s="130"/>
      <c r="K7" s="131"/>
      <c r="Q7" s="132"/>
    </row>
    <row r="8" spans="1:81" ht="22.5" customHeight="1">
      <c r="A8" s="129"/>
      <c r="D8" s="183" t="s">
        <v>153</v>
      </c>
      <c r="E8" s="18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</row>
    <row r="9" spans="1:81" hidden="1">
      <c r="A9" s="129"/>
      <c r="D9" s="134" t="e">
        <f>IF(org="","Не определено",org)</f>
        <v>#REF!</v>
      </c>
      <c r="E9" s="134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</row>
    <row r="10" spans="1:81" ht="12" customHeight="1">
      <c r="D10" s="135"/>
      <c r="E10" s="135"/>
      <c r="F10" s="130"/>
      <c r="G10" s="130"/>
      <c r="H10" s="130"/>
      <c r="I10" s="130"/>
      <c r="K10" s="136" t="s">
        <v>132</v>
      </c>
    </row>
    <row r="11" spans="1:81" ht="15" customHeight="1">
      <c r="C11" s="130"/>
      <c r="D11" s="172" t="s">
        <v>140</v>
      </c>
      <c r="E11" s="185" t="s">
        <v>154</v>
      </c>
      <c r="F11" s="185" t="s">
        <v>133</v>
      </c>
      <c r="G11" s="185" t="s">
        <v>155</v>
      </c>
      <c r="H11" s="185" t="s">
        <v>156</v>
      </c>
      <c r="I11" s="185"/>
      <c r="J11" s="185"/>
      <c r="K11" s="187"/>
      <c r="L11" s="137"/>
    </row>
    <row r="12" spans="1:81" ht="15" customHeight="1">
      <c r="C12" s="130"/>
      <c r="D12" s="184"/>
      <c r="E12" s="186"/>
      <c r="F12" s="186"/>
      <c r="G12" s="186"/>
      <c r="H12" s="138" t="s">
        <v>134</v>
      </c>
      <c r="I12" s="138" t="s">
        <v>135</v>
      </c>
      <c r="J12" s="138" t="s">
        <v>136</v>
      </c>
      <c r="K12" s="139" t="s">
        <v>137</v>
      </c>
      <c r="L12" s="137"/>
    </row>
    <row r="13" spans="1:81" ht="12" customHeight="1">
      <c r="D13" s="25">
        <v>0</v>
      </c>
      <c r="E13" s="25">
        <v>1</v>
      </c>
      <c r="F13" s="25">
        <v>2</v>
      </c>
      <c r="G13" s="25">
        <v>3</v>
      </c>
      <c r="H13" s="25">
        <v>4</v>
      </c>
      <c r="I13" s="25">
        <v>5</v>
      </c>
      <c r="J13" s="25">
        <v>6</v>
      </c>
      <c r="K13" s="25">
        <v>7</v>
      </c>
    </row>
    <row r="14" spans="1:81" s="140" customFormat="1" ht="15" customHeight="1">
      <c r="C14" s="141"/>
      <c r="D14" s="174" t="s">
        <v>200</v>
      </c>
      <c r="E14" s="175"/>
      <c r="F14" s="175"/>
      <c r="G14" s="175"/>
      <c r="H14" s="175"/>
      <c r="I14" s="175"/>
      <c r="J14" s="175"/>
      <c r="K14" s="176"/>
      <c r="L14" s="142"/>
    </row>
    <row r="15" spans="1:81" s="140" customFormat="1" ht="15" customHeight="1">
      <c r="C15" s="141"/>
      <c r="D15" s="106" t="s">
        <v>370</v>
      </c>
      <c r="E15" s="88" t="s">
        <v>498</v>
      </c>
      <c r="F15" s="68">
        <v>10</v>
      </c>
      <c r="G15" s="143">
        <f>SUM(H15:K15)</f>
        <v>8223.1290000000008</v>
      </c>
      <c r="H15" s="143">
        <f>H16+H17+H20+H23</f>
        <v>1016.954</v>
      </c>
      <c r="I15" s="143">
        <f>I16+I17+I20+I23</f>
        <v>5571.6880000000001</v>
      </c>
      <c r="J15" s="143">
        <f>J16+J17+J20+J23</f>
        <v>1634.4870000000001</v>
      </c>
      <c r="K15" s="143">
        <f>K16+K17+K20+K23</f>
        <v>0</v>
      </c>
      <c r="L15" s="142"/>
      <c r="M15" s="52"/>
      <c r="P15" s="115">
        <v>10</v>
      </c>
    </row>
    <row r="16" spans="1:81" s="140" customFormat="1" ht="15" customHeight="1">
      <c r="C16" s="141"/>
      <c r="D16" s="106" t="s">
        <v>371</v>
      </c>
      <c r="E16" s="67" t="s">
        <v>210</v>
      </c>
      <c r="F16" s="68">
        <v>20</v>
      </c>
      <c r="G16" s="143">
        <f t="shared" ref="G16:G136" si="0">SUM(H16:K16)</f>
        <v>0</v>
      </c>
      <c r="H16" s="122"/>
      <c r="I16" s="122"/>
      <c r="J16" s="122"/>
      <c r="K16" s="122"/>
      <c r="L16" s="142"/>
      <c r="M16" s="52"/>
      <c r="P16" s="115">
        <v>20</v>
      </c>
    </row>
    <row r="17" spans="3:16" s="140" customFormat="1" ht="12.75">
      <c r="C17" s="141"/>
      <c r="D17" s="106" t="s">
        <v>372</v>
      </c>
      <c r="E17" s="67" t="s">
        <v>499</v>
      </c>
      <c r="F17" s="68">
        <v>30</v>
      </c>
      <c r="G17" s="143">
        <f t="shared" si="0"/>
        <v>0</v>
      </c>
      <c r="H17" s="143">
        <f>SUM(H18:H19)</f>
        <v>0</v>
      </c>
      <c r="I17" s="143">
        <f>SUM(I18:I19)</f>
        <v>0</v>
      </c>
      <c r="J17" s="143">
        <f>SUM(J18:J19)</f>
        <v>0</v>
      </c>
      <c r="K17" s="143">
        <f>SUM(K18:K19)</f>
        <v>0</v>
      </c>
      <c r="L17" s="142"/>
      <c r="M17" s="52"/>
      <c r="P17" s="115">
        <v>30</v>
      </c>
    </row>
    <row r="18" spans="3:16" s="140" customFormat="1" ht="12.75">
      <c r="C18" s="141"/>
      <c r="D18" s="113" t="s">
        <v>480</v>
      </c>
      <c r="E18" s="144"/>
      <c r="F18" s="84" t="s">
        <v>336</v>
      </c>
      <c r="G18" s="145"/>
      <c r="H18" s="145"/>
      <c r="I18" s="145"/>
      <c r="J18" s="145"/>
      <c r="K18" s="145"/>
      <c r="L18" s="142"/>
      <c r="M18" s="52"/>
      <c r="P18" s="115"/>
    </row>
    <row r="19" spans="3:16" s="140" customFormat="1" ht="12.75">
      <c r="C19" s="141"/>
      <c r="D19" s="108"/>
      <c r="E19" s="104" t="s">
        <v>334</v>
      </c>
      <c r="F19" s="73"/>
      <c r="G19" s="73"/>
      <c r="H19" s="73"/>
      <c r="I19" s="73"/>
      <c r="J19" s="73"/>
      <c r="K19" s="74"/>
      <c r="L19" s="142"/>
      <c r="M19" s="52"/>
      <c r="P19" s="116"/>
    </row>
    <row r="20" spans="3:16" s="140" customFormat="1" ht="12.75">
      <c r="C20" s="141"/>
      <c r="D20" s="106" t="s">
        <v>373</v>
      </c>
      <c r="E20" s="67" t="s">
        <v>500</v>
      </c>
      <c r="F20" s="68" t="s">
        <v>211</v>
      </c>
      <c r="G20" s="143">
        <f t="shared" si="0"/>
        <v>0</v>
      </c>
      <c r="H20" s="143">
        <f>SUM(H21:H22)</f>
        <v>0</v>
      </c>
      <c r="I20" s="143">
        <f>SUM(I21:I22)</f>
        <v>0</v>
      </c>
      <c r="J20" s="143">
        <f>SUM(J21:J22)</f>
        <v>0</v>
      </c>
      <c r="K20" s="143">
        <f>SUM(K21:K22)</f>
        <v>0</v>
      </c>
      <c r="L20" s="142"/>
      <c r="M20" s="52"/>
      <c r="P20" s="116"/>
    </row>
    <row r="21" spans="3:16" s="140" customFormat="1" ht="12.75">
      <c r="C21" s="141"/>
      <c r="D21" s="113" t="s">
        <v>481</v>
      </c>
      <c r="E21" s="144"/>
      <c r="F21" s="84" t="s">
        <v>211</v>
      </c>
      <c r="G21" s="145"/>
      <c r="H21" s="145"/>
      <c r="I21" s="145"/>
      <c r="J21" s="145"/>
      <c r="K21" s="145"/>
      <c r="L21" s="142"/>
      <c r="M21" s="52"/>
      <c r="P21" s="115"/>
    </row>
    <row r="22" spans="3:16" s="140" customFormat="1" ht="12.75">
      <c r="C22" s="141"/>
      <c r="D22" s="108"/>
      <c r="E22" s="104" t="s">
        <v>334</v>
      </c>
      <c r="F22" s="73"/>
      <c r="G22" s="73"/>
      <c r="H22" s="73"/>
      <c r="I22" s="73"/>
      <c r="J22" s="73"/>
      <c r="K22" s="74"/>
      <c r="L22" s="142"/>
      <c r="M22" s="52"/>
      <c r="P22" s="116"/>
    </row>
    <row r="23" spans="3:16" s="140" customFormat="1" ht="12.75">
      <c r="C23" s="141"/>
      <c r="D23" s="106" t="s">
        <v>374</v>
      </c>
      <c r="E23" s="67" t="s">
        <v>501</v>
      </c>
      <c r="F23" s="68" t="s">
        <v>212</v>
      </c>
      <c r="G23" s="143">
        <f t="shared" si="0"/>
        <v>8223.1290000000008</v>
      </c>
      <c r="H23" s="143">
        <f>SUM(H24:H27)</f>
        <v>1016.954</v>
      </c>
      <c r="I23" s="143">
        <f>SUM(I24:I27)</f>
        <v>5571.6880000000001</v>
      </c>
      <c r="J23" s="143">
        <f>SUM(J24:J27)</f>
        <v>1634.4870000000001</v>
      </c>
      <c r="K23" s="143">
        <f>SUM(K24:K27)</f>
        <v>0</v>
      </c>
      <c r="L23" s="142"/>
      <c r="M23" s="52"/>
      <c r="P23" s="115">
        <v>40</v>
      </c>
    </row>
    <row r="24" spans="3:16" s="140" customFormat="1" ht="12.75">
      <c r="C24" s="141"/>
      <c r="D24" s="113" t="s">
        <v>482</v>
      </c>
      <c r="E24" s="144"/>
      <c r="F24" s="84" t="s">
        <v>212</v>
      </c>
      <c r="G24" s="145"/>
      <c r="H24" s="145"/>
      <c r="I24" s="145"/>
      <c r="J24" s="145"/>
      <c r="K24" s="145"/>
      <c r="L24" s="142"/>
      <c r="M24" s="52"/>
      <c r="P24" s="115"/>
    </row>
    <row r="25" spans="3:16" s="140" customFormat="1" ht="14.25">
      <c r="C25" s="121" t="s">
        <v>0</v>
      </c>
      <c r="D25" s="146" t="s">
        <v>1874</v>
      </c>
      <c r="E25" s="82" t="s">
        <v>2047</v>
      </c>
      <c r="F25" s="79">
        <v>431</v>
      </c>
      <c r="G25" s="147">
        <f>SUM(H25:K25)</f>
        <v>7056.9120000000003</v>
      </c>
      <c r="H25" s="148">
        <v>1016.954</v>
      </c>
      <c r="I25" s="148">
        <v>5571.6880000000001</v>
      </c>
      <c r="J25" s="148">
        <v>468.27</v>
      </c>
      <c r="K25" s="149"/>
      <c r="L25" s="142"/>
      <c r="M25" s="85" t="s">
        <v>1842</v>
      </c>
      <c r="N25" s="86" t="s">
        <v>1438</v>
      </c>
      <c r="O25" s="86" t="s">
        <v>1841</v>
      </c>
    </row>
    <row r="26" spans="3:16" s="140" customFormat="1" ht="14.25">
      <c r="C26" s="121" t="s">
        <v>0</v>
      </c>
      <c r="D26" s="146" t="s">
        <v>2072</v>
      </c>
      <c r="E26" s="82" t="s">
        <v>1467</v>
      </c>
      <c r="F26" s="79">
        <v>432</v>
      </c>
      <c r="G26" s="147">
        <f>SUM(H26:K26)</f>
        <v>1166.2170000000001</v>
      </c>
      <c r="H26" s="148"/>
      <c r="I26" s="148"/>
      <c r="J26" s="148">
        <f>336.358+829.859</f>
        <v>1166.2170000000001</v>
      </c>
      <c r="K26" s="149"/>
      <c r="L26" s="142"/>
      <c r="M26" s="85" t="s">
        <v>1468</v>
      </c>
      <c r="N26" s="86" t="s">
        <v>1438</v>
      </c>
      <c r="O26" s="86" t="s">
        <v>1466</v>
      </c>
    </row>
    <row r="27" spans="3:16" s="140" customFormat="1" ht="12.75">
      <c r="C27" s="141"/>
      <c r="D27" s="108"/>
      <c r="E27" s="104" t="s">
        <v>334</v>
      </c>
      <c r="F27" s="73"/>
      <c r="G27" s="73"/>
      <c r="H27" s="73"/>
      <c r="I27" s="73"/>
      <c r="J27" s="73"/>
      <c r="K27" s="74"/>
      <c r="L27" s="142"/>
      <c r="M27" s="52"/>
      <c r="P27" s="115"/>
    </row>
    <row r="28" spans="3:16" s="140" customFormat="1" ht="12.75">
      <c r="C28" s="141"/>
      <c r="D28" s="106" t="s">
        <v>375</v>
      </c>
      <c r="E28" s="88" t="s">
        <v>157</v>
      </c>
      <c r="F28" s="68" t="s">
        <v>213</v>
      </c>
      <c r="G28" s="143">
        <f t="shared" si="0"/>
        <v>2886.5560000000009</v>
      </c>
      <c r="H28" s="143">
        <f>H30+H31+H32</f>
        <v>0</v>
      </c>
      <c r="I28" s="143">
        <f>I29+I31+I32</f>
        <v>0</v>
      </c>
      <c r="J28" s="143">
        <f>J29+J30+J32</f>
        <v>1865.0620000000004</v>
      </c>
      <c r="K28" s="143">
        <f>K29+K30+K31</f>
        <v>1021.4940000000006</v>
      </c>
      <c r="L28" s="142"/>
      <c r="M28" s="52"/>
      <c r="P28" s="115">
        <v>50</v>
      </c>
    </row>
    <row r="29" spans="3:16" s="140" customFormat="1" ht="12.75">
      <c r="C29" s="141"/>
      <c r="D29" s="106" t="s">
        <v>376</v>
      </c>
      <c r="E29" s="67" t="s">
        <v>134</v>
      </c>
      <c r="F29" s="68" t="s">
        <v>214</v>
      </c>
      <c r="G29" s="143">
        <f t="shared" si="0"/>
        <v>1016.813</v>
      </c>
      <c r="H29" s="150"/>
      <c r="I29" s="122"/>
      <c r="J29" s="122">
        <f>H45</f>
        <v>1016.813</v>
      </c>
      <c r="K29" s="122"/>
      <c r="L29" s="142"/>
      <c r="M29" s="52"/>
      <c r="P29" s="115">
        <v>60</v>
      </c>
    </row>
    <row r="30" spans="3:16" s="140" customFormat="1" ht="12.75">
      <c r="C30" s="141"/>
      <c r="D30" s="106" t="s">
        <v>377</v>
      </c>
      <c r="E30" s="67" t="s">
        <v>135</v>
      </c>
      <c r="F30" s="68" t="s">
        <v>215</v>
      </c>
      <c r="G30" s="143">
        <f t="shared" si="0"/>
        <v>848.24900000000025</v>
      </c>
      <c r="H30" s="122"/>
      <c r="I30" s="150"/>
      <c r="J30" s="122">
        <f>I25-I34-I48</f>
        <v>848.24900000000025</v>
      </c>
      <c r="K30" s="122"/>
      <c r="L30" s="142"/>
      <c r="M30" s="52"/>
      <c r="P30" s="115">
        <v>70</v>
      </c>
    </row>
    <row r="31" spans="3:16" s="140" customFormat="1" ht="12.75">
      <c r="C31" s="141"/>
      <c r="D31" s="106" t="s">
        <v>378</v>
      </c>
      <c r="E31" s="67" t="s">
        <v>136</v>
      </c>
      <c r="F31" s="68" t="s">
        <v>216</v>
      </c>
      <c r="G31" s="143">
        <f t="shared" si="0"/>
        <v>1021.4940000000006</v>
      </c>
      <c r="H31" s="122"/>
      <c r="I31" s="122"/>
      <c r="J31" s="150"/>
      <c r="K31" s="122">
        <f>J23+J28+J17-J48-J34</f>
        <v>1021.4940000000006</v>
      </c>
      <c r="L31" s="142"/>
      <c r="M31" s="52"/>
      <c r="P31" s="115">
        <v>80</v>
      </c>
    </row>
    <row r="32" spans="3:16" s="140" customFormat="1" ht="12.75">
      <c r="C32" s="141"/>
      <c r="D32" s="106" t="s">
        <v>379</v>
      </c>
      <c r="E32" s="67" t="s">
        <v>158</v>
      </c>
      <c r="F32" s="68" t="s">
        <v>217</v>
      </c>
      <c r="G32" s="143">
        <f t="shared" si="0"/>
        <v>0</v>
      </c>
      <c r="H32" s="122"/>
      <c r="I32" s="122"/>
      <c r="J32" s="122"/>
      <c r="K32" s="150"/>
      <c r="L32" s="142"/>
      <c r="M32" s="52"/>
      <c r="P32" s="115">
        <v>90</v>
      </c>
    </row>
    <row r="33" spans="3:16" s="140" customFormat="1" ht="12.75">
      <c r="C33" s="141"/>
      <c r="D33" s="106" t="s">
        <v>380</v>
      </c>
      <c r="E33" s="89" t="s">
        <v>161</v>
      </c>
      <c r="F33" s="68" t="s">
        <v>218</v>
      </c>
      <c r="G33" s="143">
        <f t="shared" si="0"/>
        <v>0</v>
      </c>
      <c r="H33" s="122"/>
      <c r="I33" s="122"/>
      <c r="J33" s="122"/>
      <c r="K33" s="122"/>
      <c r="L33" s="142"/>
      <c r="M33" s="52"/>
      <c r="P33" s="115"/>
    </row>
    <row r="34" spans="3:16" s="140" customFormat="1" ht="12.75">
      <c r="C34" s="141"/>
      <c r="D34" s="106" t="s">
        <v>381</v>
      </c>
      <c r="E34" s="88" t="s">
        <v>502</v>
      </c>
      <c r="F34" s="109" t="s">
        <v>219</v>
      </c>
      <c r="G34" s="143">
        <f t="shared" si="0"/>
        <v>8044.5929999999989</v>
      </c>
      <c r="H34" s="143">
        <f>H35+H37+H40+H44</f>
        <v>0</v>
      </c>
      <c r="I34" s="143">
        <f>I35+I37+I40+I44</f>
        <v>4574.49</v>
      </c>
      <c r="J34" s="143">
        <f>J35+J37+J40+J44</f>
        <v>2469.2649999999999</v>
      </c>
      <c r="K34" s="143">
        <f>K35+K37+K40+K44</f>
        <v>1000.838</v>
      </c>
      <c r="L34" s="142"/>
      <c r="M34" s="52"/>
      <c r="P34" s="115">
        <v>100</v>
      </c>
    </row>
    <row r="35" spans="3:16" s="140" customFormat="1" ht="22.5">
      <c r="C35" s="141"/>
      <c r="D35" s="106" t="s">
        <v>382</v>
      </c>
      <c r="E35" s="67" t="s">
        <v>503</v>
      </c>
      <c r="F35" s="68" t="s">
        <v>220</v>
      </c>
      <c r="G35" s="143">
        <f t="shared" si="0"/>
        <v>0</v>
      </c>
      <c r="H35" s="122"/>
      <c r="I35" s="122"/>
      <c r="J35" s="122"/>
      <c r="K35" s="122"/>
      <c r="L35" s="142"/>
      <c r="M35" s="52"/>
      <c r="P35" s="115"/>
    </row>
    <row r="36" spans="3:16" s="140" customFormat="1" ht="12.75">
      <c r="C36" s="141"/>
      <c r="D36" s="106" t="s">
        <v>486</v>
      </c>
      <c r="E36" s="69" t="s">
        <v>476</v>
      </c>
      <c r="F36" s="68" t="s">
        <v>223</v>
      </c>
      <c r="G36" s="143">
        <f t="shared" si="0"/>
        <v>0</v>
      </c>
      <c r="H36" s="122"/>
      <c r="I36" s="122"/>
      <c r="J36" s="122"/>
      <c r="K36" s="122"/>
      <c r="L36" s="142"/>
      <c r="M36" s="52"/>
      <c r="P36" s="115"/>
    </row>
    <row r="37" spans="3:16" s="140" customFormat="1" ht="12.75">
      <c r="C37" s="141"/>
      <c r="D37" s="106" t="s">
        <v>383</v>
      </c>
      <c r="E37" s="67" t="s">
        <v>221</v>
      </c>
      <c r="F37" s="68" t="s">
        <v>224</v>
      </c>
      <c r="G37" s="143">
        <f t="shared" si="0"/>
        <v>4186.3729999999996</v>
      </c>
      <c r="H37" s="122">
        <v>0</v>
      </c>
      <c r="I37" s="122">
        <f>4574.49-I42</f>
        <v>716.27</v>
      </c>
      <c r="J37" s="122">
        <v>2469.2649999999999</v>
      </c>
      <c r="K37" s="122">
        <v>1000.838</v>
      </c>
      <c r="L37" s="142"/>
      <c r="M37" s="52"/>
      <c r="P37" s="115"/>
    </row>
    <row r="38" spans="3:16" s="140" customFormat="1" ht="12.75">
      <c r="C38" s="141"/>
      <c r="D38" s="106" t="s">
        <v>487</v>
      </c>
      <c r="E38" s="69" t="s">
        <v>504</v>
      </c>
      <c r="F38" s="68" t="s">
        <v>225</v>
      </c>
      <c r="G38" s="143">
        <f t="shared" si="0"/>
        <v>0</v>
      </c>
      <c r="H38" s="122"/>
      <c r="I38" s="122"/>
      <c r="J38" s="122"/>
      <c r="K38" s="122"/>
      <c r="L38" s="142"/>
      <c r="M38" s="52"/>
      <c r="P38" s="115"/>
    </row>
    <row r="39" spans="3:16" s="140" customFormat="1" ht="12.75">
      <c r="C39" s="141"/>
      <c r="D39" s="106" t="s">
        <v>488</v>
      </c>
      <c r="E39" s="71" t="s">
        <v>476</v>
      </c>
      <c r="F39" s="68" t="s">
        <v>226</v>
      </c>
      <c r="G39" s="143">
        <f t="shared" si="0"/>
        <v>0</v>
      </c>
      <c r="H39" s="122"/>
      <c r="I39" s="122"/>
      <c r="J39" s="122"/>
      <c r="K39" s="122"/>
      <c r="L39" s="142"/>
      <c r="M39" s="52"/>
      <c r="P39" s="115"/>
    </row>
    <row r="40" spans="3:16" s="140" customFormat="1" ht="12.75">
      <c r="C40" s="141"/>
      <c r="D40" s="106" t="s">
        <v>384</v>
      </c>
      <c r="E40" s="67" t="s">
        <v>505</v>
      </c>
      <c r="F40" s="68" t="s">
        <v>227</v>
      </c>
      <c r="G40" s="143">
        <f t="shared" si="0"/>
        <v>3858.22</v>
      </c>
      <c r="H40" s="143">
        <f>SUM(H41:H43)</f>
        <v>0</v>
      </c>
      <c r="I40" s="143">
        <f>SUM(I41:I43)</f>
        <v>3858.22</v>
      </c>
      <c r="J40" s="143">
        <f>SUM(J41:J43)</f>
        <v>0</v>
      </c>
      <c r="K40" s="143">
        <f>SUM(K41:K43)</f>
        <v>0</v>
      </c>
      <c r="L40" s="142"/>
      <c r="M40" s="52"/>
      <c r="P40" s="115"/>
    </row>
    <row r="41" spans="3:16" s="140" customFormat="1" ht="12.75">
      <c r="C41" s="141"/>
      <c r="D41" s="113" t="s">
        <v>496</v>
      </c>
      <c r="E41" s="144"/>
      <c r="F41" s="84" t="s">
        <v>227</v>
      </c>
      <c r="G41" s="145"/>
      <c r="H41" s="145"/>
      <c r="I41" s="145"/>
      <c r="J41" s="145"/>
      <c r="K41" s="145"/>
      <c r="L41" s="142"/>
      <c r="M41" s="52"/>
      <c r="P41" s="115"/>
    </row>
    <row r="42" spans="3:16" s="140" customFormat="1" ht="14.25">
      <c r="C42" s="121" t="s">
        <v>0</v>
      </c>
      <c r="D42" s="146" t="s">
        <v>1875</v>
      </c>
      <c r="E42" s="82" t="s">
        <v>1467</v>
      </c>
      <c r="F42" s="79">
        <v>751</v>
      </c>
      <c r="G42" s="147">
        <f>SUM(H42:K42)</f>
        <v>3858.22</v>
      </c>
      <c r="H42" s="148"/>
      <c r="I42" s="148">
        <v>3858.22</v>
      </c>
      <c r="J42" s="148"/>
      <c r="K42" s="149"/>
      <c r="L42" s="142"/>
      <c r="M42" s="85" t="s">
        <v>1468</v>
      </c>
      <c r="N42" s="86" t="s">
        <v>1451</v>
      </c>
      <c r="O42" s="86" t="s">
        <v>1466</v>
      </c>
    </row>
    <row r="43" spans="3:16" s="140" customFormat="1" ht="12.75">
      <c r="C43" s="141"/>
      <c r="D43" s="76"/>
      <c r="E43" s="104" t="s">
        <v>334</v>
      </c>
      <c r="F43" s="73"/>
      <c r="G43" s="73"/>
      <c r="H43" s="73"/>
      <c r="I43" s="73"/>
      <c r="J43" s="73"/>
      <c r="K43" s="74"/>
      <c r="L43" s="142"/>
      <c r="M43" s="52"/>
      <c r="P43" s="115"/>
    </row>
    <row r="44" spans="3:16" s="140" customFormat="1" ht="12.75">
      <c r="C44" s="141"/>
      <c r="D44" s="106" t="s">
        <v>385</v>
      </c>
      <c r="E44" s="105" t="s">
        <v>477</v>
      </c>
      <c r="F44" s="68" t="s">
        <v>228</v>
      </c>
      <c r="G44" s="143">
        <f t="shared" si="0"/>
        <v>0</v>
      </c>
      <c r="H44" s="122"/>
      <c r="I44" s="122"/>
      <c r="J44" s="122"/>
      <c r="K44" s="122"/>
      <c r="L44" s="142"/>
      <c r="M44" s="52"/>
      <c r="P44" s="115">
        <v>120</v>
      </c>
    </row>
    <row r="45" spans="3:16" s="140" customFormat="1" ht="12.75">
      <c r="C45" s="141"/>
      <c r="D45" s="106" t="s">
        <v>386</v>
      </c>
      <c r="E45" s="88" t="s">
        <v>159</v>
      </c>
      <c r="F45" s="68" t="s">
        <v>229</v>
      </c>
      <c r="G45" s="143">
        <f t="shared" si="0"/>
        <v>2886.5560000000014</v>
      </c>
      <c r="H45" s="122">
        <f>H25-H48-H34</f>
        <v>1016.813</v>
      </c>
      <c r="I45" s="122">
        <f>I15-I34-I48</f>
        <v>848.24900000000025</v>
      </c>
      <c r="J45" s="122">
        <f>J23+J28+J17-J34-J48</f>
        <v>1021.4940000000006</v>
      </c>
      <c r="K45" s="122">
        <f>K31-K34-K48</f>
        <v>6.3238303482648917E-13</v>
      </c>
      <c r="L45" s="142"/>
      <c r="M45" s="52"/>
      <c r="P45" s="115">
        <v>150</v>
      </c>
    </row>
    <row r="46" spans="3:16" s="140" customFormat="1" ht="12.75">
      <c r="C46" s="141"/>
      <c r="D46" s="106" t="s">
        <v>387</v>
      </c>
      <c r="E46" s="88" t="s">
        <v>160</v>
      </c>
      <c r="F46" s="68" t="s">
        <v>230</v>
      </c>
      <c r="G46" s="143">
        <f t="shared" si="0"/>
        <v>0</v>
      </c>
      <c r="H46" s="122"/>
      <c r="I46" s="122"/>
      <c r="J46" s="122"/>
      <c r="K46" s="122"/>
      <c r="L46" s="142"/>
      <c r="M46" s="52"/>
      <c r="P46" s="115">
        <v>160</v>
      </c>
    </row>
    <row r="47" spans="3:16" s="140" customFormat="1" ht="12.75">
      <c r="C47" s="141"/>
      <c r="D47" s="106" t="s">
        <v>388</v>
      </c>
      <c r="E47" s="88" t="s">
        <v>162</v>
      </c>
      <c r="F47" s="68" t="s">
        <v>231</v>
      </c>
      <c r="G47" s="143">
        <f t="shared" si="0"/>
        <v>0</v>
      </c>
      <c r="H47" s="122"/>
      <c r="I47" s="122"/>
      <c r="J47" s="122"/>
      <c r="K47" s="122"/>
      <c r="L47" s="142"/>
      <c r="M47" s="52"/>
      <c r="P47" s="115">
        <v>180</v>
      </c>
    </row>
    <row r="48" spans="3:16" s="140" customFormat="1" ht="12.75">
      <c r="C48" s="141"/>
      <c r="D48" s="106" t="s">
        <v>389</v>
      </c>
      <c r="E48" s="88" t="s">
        <v>473</v>
      </c>
      <c r="F48" s="68" t="s">
        <v>232</v>
      </c>
      <c r="G48" s="143">
        <f t="shared" si="0"/>
        <v>178.536</v>
      </c>
      <c r="H48" s="122">
        <v>0.14099999999999999</v>
      </c>
      <c r="I48" s="122">
        <v>148.94900000000001</v>
      </c>
      <c r="J48" s="122">
        <f>1.951+6.839</f>
        <v>8.7900000000000009</v>
      </c>
      <c r="K48" s="122">
        <v>20.655999999999999</v>
      </c>
      <c r="L48" s="142"/>
      <c r="M48" s="52"/>
      <c r="P48" s="115">
        <v>190</v>
      </c>
    </row>
    <row r="49" spans="3:16" s="140" customFormat="1" ht="12.75">
      <c r="C49" s="141"/>
      <c r="D49" s="106" t="s">
        <v>390</v>
      </c>
      <c r="E49" s="67" t="s">
        <v>474</v>
      </c>
      <c r="F49" s="68" t="s">
        <v>234</v>
      </c>
      <c r="G49" s="143">
        <f t="shared" si="0"/>
        <v>0</v>
      </c>
      <c r="H49" s="122"/>
      <c r="I49" s="122"/>
      <c r="J49" s="122"/>
      <c r="K49" s="122"/>
      <c r="L49" s="142"/>
      <c r="M49" s="52"/>
      <c r="P49" s="115">
        <v>200</v>
      </c>
    </row>
    <row r="50" spans="3:16" s="140" customFormat="1" ht="22.5">
      <c r="C50" s="141"/>
      <c r="D50" s="106" t="s">
        <v>475</v>
      </c>
      <c r="E50" s="88" t="s">
        <v>417</v>
      </c>
      <c r="F50" s="68" t="s">
        <v>235</v>
      </c>
      <c r="G50" s="143">
        <f t="shared" si="0"/>
        <v>183.38</v>
      </c>
      <c r="H50" s="122"/>
      <c r="I50" s="122">
        <f>183.38*0.25776</f>
        <v>47.268028799999996</v>
      </c>
      <c r="J50" s="122">
        <f>183.38*0.37244</f>
        <v>68.298047199999999</v>
      </c>
      <c r="K50" s="122">
        <f>183.38*0.3698</f>
        <v>67.813924</v>
      </c>
      <c r="L50" s="142"/>
      <c r="M50" s="52"/>
      <c r="P50" s="116"/>
    </row>
    <row r="51" spans="3:16" s="140" customFormat="1" ht="33.75">
      <c r="C51" s="141"/>
      <c r="D51" s="106" t="s">
        <v>391</v>
      </c>
      <c r="E51" s="89" t="s">
        <v>236</v>
      </c>
      <c r="F51" s="68" t="s">
        <v>237</v>
      </c>
      <c r="G51" s="143">
        <f t="shared" si="0"/>
        <v>-4.8439999999999799</v>
      </c>
      <c r="H51" s="143">
        <f>H48-H50</f>
        <v>0.14099999999999999</v>
      </c>
      <c r="I51" s="143">
        <f>I48-I50</f>
        <v>101.68097120000002</v>
      </c>
      <c r="J51" s="143">
        <f>J48-J50</f>
        <v>-59.5080472</v>
      </c>
      <c r="K51" s="143">
        <f>K48-K50</f>
        <v>-47.157924000000001</v>
      </c>
      <c r="L51" s="142"/>
      <c r="M51" s="52"/>
      <c r="P51" s="116"/>
    </row>
    <row r="52" spans="3:16" s="140" customFormat="1" ht="12.75">
      <c r="C52" s="141"/>
      <c r="D52" s="106" t="s">
        <v>392</v>
      </c>
      <c r="E52" s="88" t="s">
        <v>163</v>
      </c>
      <c r="F52" s="68" t="s">
        <v>238</v>
      </c>
      <c r="G52" s="143">
        <f t="shared" si="0"/>
        <v>0</v>
      </c>
      <c r="H52" s="143">
        <f>(H15+H28+H33)-(H34+H45+H46+H47+H48)</f>
        <v>0</v>
      </c>
      <c r="I52" s="143">
        <f>(I15+I28+I33)-(I34+I45+I46+I47+I48)</f>
        <v>0</v>
      </c>
      <c r="J52" s="143">
        <f>(J15+J28+J33)-(J34+J45+J46+J47+J48)</f>
        <v>0</v>
      </c>
      <c r="K52" s="143">
        <f>(K15+K28+K33)-(K34+K45+K46+K47+K48)</f>
        <v>0</v>
      </c>
      <c r="L52" s="142"/>
      <c r="M52" s="52"/>
      <c r="P52" s="115">
        <v>210</v>
      </c>
    </row>
    <row r="53" spans="3:16" s="140" customFormat="1" ht="12.75">
      <c r="C53" s="141"/>
      <c r="D53" s="174" t="s">
        <v>201</v>
      </c>
      <c r="E53" s="175"/>
      <c r="F53" s="175"/>
      <c r="G53" s="175"/>
      <c r="H53" s="175"/>
      <c r="I53" s="175"/>
      <c r="J53" s="175"/>
      <c r="K53" s="176"/>
      <c r="L53" s="142"/>
      <c r="M53" s="52"/>
      <c r="P53" s="116"/>
    </row>
    <row r="54" spans="3:16" s="140" customFormat="1" ht="12.75">
      <c r="C54" s="141"/>
      <c r="D54" s="106" t="s">
        <v>393</v>
      </c>
      <c r="E54" s="88" t="s">
        <v>498</v>
      </c>
      <c r="F54" s="68" t="s">
        <v>239</v>
      </c>
      <c r="G54" s="143">
        <f t="shared" si="0"/>
        <v>11.052592741935484</v>
      </c>
      <c r="H54" s="143">
        <f>H55+H56+H59+H62</f>
        <v>1.3668736559139785</v>
      </c>
      <c r="I54" s="143">
        <f>I55+I56+I59+I62</f>
        <v>7.4888279569892475</v>
      </c>
      <c r="J54" s="143">
        <f>J55+J56+J59+J62</f>
        <v>2.1968911290322581</v>
      </c>
      <c r="K54" s="143">
        <f>K55+K56+K59+K62</f>
        <v>0</v>
      </c>
      <c r="L54" s="142"/>
      <c r="M54" s="52"/>
      <c r="P54" s="115">
        <v>300</v>
      </c>
    </row>
    <row r="55" spans="3:16" s="140" customFormat="1" ht="12.75">
      <c r="C55" s="141"/>
      <c r="D55" s="106" t="s">
        <v>394</v>
      </c>
      <c r="E55" s="67" t="s">
        <v>210</v>
      </c>
      <c r="F55" s="68" t="s">
        <v>240</v>
      </c>
      <c r="G55" s="143">
        <f t="shared" si="0"/>
        <v>0</v>
      </c>
      <c r="H55" s="122"/>
      <c r="I55" s="122"/>
      <c r="J55" s="122"/>
      <c r="K55" s="122"/>
      <c r="L55" s="142"/>
      <c r="M55" s="52"/>
      <c r="P55" s="115">
        <v>310</v>
      </c>
    </row>
    <row r="56" spans="3:16" s="140" customFormat="1" ht="12.75">
      <c r="C56" s="141"/>
      <c r="D56" s="106" t="s">
        <v>395</v>
      </c>
      <c r="E56" s="67" t="s">
        <v>499</v>
      </c>
      <c r="F56" s="68" t="s">
        <v>241</v>
      </c>
      <c r="G56" s="143">
        <f t="shared" si="0"/>
        <v>0</v>
      </c>
      <c r="H56" s="143">
        <f>SUM(H57:H58)</f>
        <v>0</v>
      </c>
      <c r="I56" s="143">
        <f>SUM(I57:I58)</f>
        <v>0</v>
      </c>
      <c r="J56" s="143">
        <f>SUM(J57:J58)</f>
        <v>0</v>
      </c>
      <c r="K56" s="143">
        <f>SUM(K57:K58)</f>
        <v>0</v>
      </c>
      <c r="L56" s="142"/>
      <c r="M56" s="52"/>
      <c r="P56" s="115">
        <v>320</v>
      </c>
    </row>
    <row r="57" spans="3:16" s="140" customFormat="1" ht="12.75">
      <c r="C57" s="141"/>
      <c r="D57" s="113" t="s">
        <v>483</v>
      </c>
      <c r="E57" s="144"/>
      <c r="F57" s="84" t="s">
        <v>241</v>
      </c>
      <c r="G57" s="145"/>
      <c r="H57" s="145"/>
      <c r="I57" s="145"/>
      <c r="J57" s="145"/>
      <c r="K57" s="145"/>
      <c r="L57" s="142"/>
      <c r="M57" s="52"/>
      <c r="P57" s="115"/>
    </row>
    <row r="58" spans="3:16" s="140" customFormat="1" ht="12.75">
      <c r="C58" s="141"/>
      <c r="D58" s="108"/>
      <c r="E58" s="104" t="s">
        <v>334</v>
      </c>
      <c r="F58" s="73"/>
      <c r="G58" s="73"/>
      <c r="H58" s="73"/>
      <c r="I58" s="73"/>
      <c r="J58" s="73"/>
      <c r="K58" s="74"/>
      <c r="L58" s="142"/>
      <c r="M58" s="52"/>
      <c r="P58" s="115"/>
    </row>
    <row r="59" spans="3:16" s="140" customFormat="1" ht="12.75">
      <c r="C59" s="141"/>
      <c r="D59" s="106" t="s">
        <v>396</v>
      </c>
      <c r="E59" s="67" t="s">
        <v>500</v>
      </c>
      <c r="F59" s="68" t="s">
        <v>242</v>
      </c>
      <c r="G59" s="143">
        <f t="shared" si="0"/>
        <v>0</v>
      </c>
      <c r="H59" s="143">
        <f>SUM(H60:H61)</f>
        <v>0</v>
      </c>
      <c r="I59" s="143">
        <f>SUM(I60:I61)</f>
        <v>0</v>
      </c>
      <c r="J59" s="143">
        <f>SUM(J60:J61)</f>
        <v>0</v>
      </c>
      <c r="K59" s="143">
        <f>SUM(K60:K61)</f>
        <v>0</v>
      </c>
      <c r="L59" s="142"/>
      <c r="M59" s="52"/>
      <c r="P59" s="115"/>
    </row>
    <row r="60" spans="3:16" s="140" customFormat="1" ht="12.75">
      <c r="C60" s="141"/>
      <c r="D60" s="113" t="s">
        <v>484</v>
      </c>
      <c r="E60" s="144"/>
      <c r="F60" s="84" t="s">
        <v>242</v>
      </c>
      <c r="G60" s="145"/>
      <c r="H60" s="145"/>
      <c r="I60" s="145"/>
      <c r="J60" s="145"/>
      <c r="K60" s="145"/>
      <c r="L60" s="142"/>
      <c r="M60" s="52"/>
      <c r="P60" s="115"/>
    </row>
    <row r="61" spans="3:16" s="140" customFormat="1" ht="12.75">
      <c r="C61" s="141"/>
      <c r="D61" s="108"/>
      <c r="E61" s="104" t="s">
        <v>334</v>
      </c>
      <c r="F61" s="73"/>
      <c r="G61" s="73"/>
      <c r="H61" s="73"/>
      <c r="I61" s="73"/>
      <c r="J61" s="73"/>
      <c r="K61" s="74"/>
      <c r="L61" s="142"/>
      <c r="M61" s="52"/>
      <c r="P61" s="115"/>
    </row>
    <row r="62" spans="3:16" s="140" customFormat="1" ht="12.75">
      <c r="C62" s="141"/>
      <c r="D62" s="106" t="s">
        <v>397</v>
      </c>
      <c r="E62" s="67" t="s">
        <v>501</v>
      </c>
      <c r="F62" s="68" t="s">
        <v>243</v>
      </c>
      <c r="G62" s="143">
        <f t="shared" si="0"/>
        <v>11.052592741935484</v>
      </c>
      <c r="H62" s="143">
        <f>SUM(H63:H66)</f>
        <v>1.3668736559139785</v>
      </c>
      <c r="I62" s="143">
        <f>SUM(I63:I66)</f>
        <v>7.4888279569892475</v>
      </c>
      <c r="J62" s="143">
        <f>SUM(J63:J66)</f>
        <v>2.1968911290322581</v>
      </c>
      <c r="K62" s="143">
        <f>SUM(K63:K66)</f>
        <v>0</v>
      </c>
      <c r="L62" s="142"/>
      <c r="M62" s="52"/>
      <c r="P62" s="115">
        <v>330</v>
      </c>
    </row>
    <row r="63" spans="3:16" s="140" customFormat="1" ht="12.75">
      <c r="C63" s="141"/>
      <c r="D63" s="113" t="s">
        <v>485</v>
      </c>
      <c r="E63" s="144"/>
      <c r="F63" s="84" t="s">
        <v>243</v>
      </c>
      <c r="G63" s="145"/>
      <c r="H63" s="145"/>
      <c r="I63" s="145"/>
      <c r="J63" s="145"/>
      <c r="K63" s="145"/>
      <c r="L63" s="142"/>
      <c r="M63" s="52"/>
      <c r="P63" s="115"/>
    </row>
    <row r="64" spans="3:16" s="140" customFormat="1" ht="14.25">
      <c r="C64" s="121" t="s">
        <v>0</v>
      </c>
      <c r="D64" s="146" t="s">
        <v>1876</v>
      </c>
      <c r="E64" s="82" t="s">
        <v>2047</v>
      </c>
      <c r="F64" s="79">
        <v>1461</v>
      </c>
      <c r="G64" s="147">
        <f>SUM(H64:K64)</f>
        <v>9.4850967741935488</v>
      </c>
      <c r="H64" s="148">
        <f>H25/744</f>
        <v>1.3668736559139785</v>
      </c>
      <c r="I64" s="148">
        <f>I25/744</f>
        <v>7.4888279569892475</v>
      </c>
      <c r="J64" s="148">
        <f>J25/744</f>
        <v>0.62939516129032258</v>
      </c>
      <c r="K64" s="148"/>
      <c r="L64" s="142"/>
      <c r="M64" s="85" t="s">
        <v>1842</v>
      </c>
      <c r="N64" s="86" t="s">
        <v>1438</v>
      </c>
      <c r="O64" s="86" t="s">
        <v>1841</v>
      </c>
    </row>
    <row r="65" spans="3:16" s="140" customFormat="1" ht="14.25">
      <c r="C65" s="121" t="s">
        <v>0</v>
      </c>
      <c r="D65" s="146" t="s">
        <v>2073</v>
      </c>
      <c r="E65" s="82" t="s">
        <v>1467</v>
      </c>
      <c r="F65" s="79">
        <v>1462</v>
      </c>
      <c r="G65" s="147">
        <f>SUM(H65:K65)</f>
        <v>1.5674959677419356</v>
      </c>
      <c r="H65" s="148"/>
      <c r="I65" s="148"/>
      <c r="J65" s="148">
        <f>J26/744</f>
        <v>1.5674959677419356</v>
      </c>
      <c r="K65" s="149"/>
      <c r="L65" s="142"/>
      <c r="M65" s="85" t="s">
        <v>1468</v>
      </c>
      <c r="N65" s="86" t="s">
        <v>1438</v>
      </c>
      <c r="O65" s="86" t="s">
        <v>1466</v>
      </c>
    </row>
    <row r="66" spans="3:16" s="140" customFormat="1" ht="12.75">
      <c r="C66" s="141"/>
      <c r="D66" s="108"/>
      <c r="E66" s="104" t="s">
        <v>334</v>
      </c>
      <c r="F66" s="73"/>
      <c r="G66" s="73"/>
      <c r="H66" s="73"/>
      <c r="I66" s="73"/>
      <c r="J66" s="73"/>
      <c r="K66" s="74"/>
      <c r="L66" s="142"/>
      <c r="M66" s="52"/>
      <c r="P66" s="115"/>
    </row>
    <row r="67" spans="3:16" s="140" customFormat="1" ht="12.75">
      <c r="C67" s="141"/>
      <c r="D67" s="106" t="s">
        <v>398</v>
      </c>
      <c r="E67" s="88" t="s">
        <v>157</v>
      </c>
      <c r="F67" s="68" t="s">
        <v>244</v>
      </c>
      <c r="G67" s="143">
        <f t="shared" si="0"/>
        <v>3.8797795698924742</v>
      </c>
      <c r="H67" s="143">
        <f>H69+H70+H71</f>
        <v>0</v>
      </c>
      <c r="I67" s="143">
        <f>I68+I70+I71</f>
        <v>0</v>
      </c>
      <c r="J67" s="143">
        <f>J68+J69+J71</f>
        <v>2.5068037634408604</v>
      </c>
      <c r="K67" s="143">
        <f>K68+K69+K70</f>
        <v>1.3729758064516138</v>
      </c>
      <c r="L67" s="142"/>
      <c r="M67" s="52"/>
      <c r="P67" s="115">
        <v>340</v>
      </c>
    </row>
    <row r="68" spans="3:16" s="140" customFormat="1" ht="12.75">
      <c r="C68" s="141"/>
      <c r="D68" s="106" t="s">
        <v>399</v>
      </c>
      <c r="E68" s="67" t="s">
        <v>134</v>
      </c>
      <c r="F68" s="68" t="s">
        <v>245</v>
      </c>
      <c r="G68" s="143">
        <f t="shared" si="0"/>
        <v>1.3666841397849463</v>
      </c>
      <c r="H68" s="150"/>
      <c r="I68" s="122"/>
      <c r="J68" s="122">
        <f>J29/744</f>
        <v>1.3666841397849463</v>
      </c>
      <c r="K68" s="122"/>
      <c r="L68" s="142"/>
      <c r="M68" s="52"/>
      <c r="P68" s="115">
        <v>350</v>
      </c>
    </row>
    <row r="69" spans="3:16" s="140" customFormat="1" ht="12.75">
      <c r="C69" s="141"/>
      <c r="D69" s="106" t="s">
        <v>400</v>
      </c>
      <c r="E69" s="67" t="s">
        <v>135</v>
      </c>
      <c r="F69" s="68" t="s">
        <v>246</v>
      </c>
      <c r="G69" s="143">
        <f t="shared" si="0"/>
        <v>1.1401196236559143</v>
      </c>
      <c r="H69" s="122"/>
      <c r="I69" s="151"/>
      <c r="J69" s="122">
        <f>J30/744</f>
        <v>1.1401196236559143</v>
      </c>
      <c r="K69" s="122"/>
      <c r="L69" s="142"/>
      <c r="M69" s="52"/>
      <c r="P69" s="115">
        <v>360</v>
      </c>
    </row>
    <row r="70" spans="3:16" s="140" customFormat="1" ht="12.75">
      <c r="C70" s="141"/>
      <c r="D70" s="106" t="s">
        <v>401</v>
      </c>
      <c r="E70" s="67" t="s">
        <v>136</v>
      </c>
      <c r="F70" s="68" t="s">
        <v>247</v>
      </c>
      <c r="G70" s="143">
        <f t="shared" si="0"/>
        <v>1.3729758064516138</v>
      </c>
      <c r="H70" s="122"/>
      <c r="I70" s="122"/>
      <c r="J70" s="150"/>
      <c r="K70" s="122">
        <f>K31/744</f>
        <v>1.3729758064516138</v>
      </c>
      <c r="L70" s="142"/>
      <c r="M70" s="52"/>
      <c r="P70" s="115">
        <v>370</v>
      </c>
    </row>
    <row r="71" spans="3:16" s="140" customFormat="1" ht="12.75">
      <c r="C71" s="141"/>
      <c r="D71" s="106" t="s">
        <v>402</v>
      </c>
      <c r="E71" s="67" t="s">
        <v>158</v>
      </c>
      <c r="F71" s="68" t="s">
        <v>248</v>
      </c>
      <c r="G71" s="143">
        <f t="shared" si="0"/>
        <v>0</v>
      </c>
      <c r="H71" s="122"/>
      <c r="I71" s="122"/>
      <c r="J71" s="122"/>
      <c r="K71" s="150"/>
      <c r="L71" s="142"/>
      <c r="M71" s="52"/>
      <c r="P71" s="115">
        <v>380</v>
      </c>
    </row>
    <row r="72" spans="3:16" s="140" customFormat="1" ht="12.75">
      <c r="C72" s="141"/>
      <c r="D72" s="106" t="s">
        <v>403</v>
      </c>
      <c r="E72" s="89" t="s">
        <v>161</v>
      </c>
      <c r="F72" s="68" t="s">
        <v>249</v>
      </c>
      <c r="G72" s="143">
        <f t="shared" si="0"/>
        <v>0</v>
      </c>
      <c r="H72" s="122"/>
      <c r="I72" s="122"/>
      <c r="J72" s="122"/>
      <c r="K72" s="122"/>
      <c r="L72" s="142"/>
      <c r="M72" s="52"/>
      <c r="P72" s="115"/>
    </row>
    <row r="73" spans="3:16" s="140" customFormat="1" ht="12.75">
      <c r="C73" s="141"/>
      <c r="D73" s="106" t="s">
        <v>404</v>
      </c>
      <c r="E73" s="88" t="s">
        <v>502</v>
      </c>
      <c r="F73" s="109" t="s">
        <v>250</v>
      </c>
      <c r="G73" s="143">
        <f t="shared" si="0"/>
        <v>10.812624999999999</v>
      </c>
      <c r="H73" s="143">
        <f>H74+H76+H79+H83</f>
        <v>0</v>
      </c>
      <c r="I73" s="143">
        <f>I74+I76+I79+I83</f>
        <v>6.148508064516129</v>
      </c>
      <c r="J73" s="143">
        <f>J74+J76+J79+J83</f>
        <v>3.3189045698924731</v>
      </c>
      <c r="K73" s="143">
        <f>K74+K76+K79+K83</f>
        <v>1.3452123655913979</v>
      </c>
      <c r="L73" s="142"/>
      <c r="M73" s="52"/>
      <c r="P73" s="115">
        <v>390</v>
      </c>
    </row>
    <row r="74" spans="3:16" s="140" customFormat="1" ht="22.5">
      <c r="C74" s="141"/>
      <c r="D74" s="106" t="s">
        <v>405</v>
      </c>
      <c r="E74" s="67" t="s">
        <v>503</v>
      </c>
      <c r="F74" s="68" t="s">
        <v>251</v>
      </c>
      <c r="G74" s="143">
        <f t="shared" si="0"/>
        <v>0</v>
      </c>
      <c r="H74" s="122"/>
      <c r="I74" s="122"/>
      <c r="J74" s="122"/>
      <c r="K74" s="122"/>
      <c r="L74" s="142"/>
      <c r="M74" s="52"/>
      <c r="P74" s="115"/>
    </row>
    <row r="75" spans="3:16" s="140" customFormat="1" ht="12.75">
      <c r="C75" s="141"/>
      <c r="D75" s="106" t="s">
        <v>489</v>
      </c>
      <c r="E75" s="69" t="s">
        <v>476</v>
      </c>
      <c r="F75" s="68" t="s">
        <v>252</v>
      </c>
      <c r="G75" s="143">
        <f t="shared" si="0"/>
        <v>0</v>
      </c>
      <c r="H75" s="122"/>
      <c r="I75" s="122"/>
      <c r="J75" s="122"/>
      <c r="K75" s="122"/>
      <c r="L75" s="142"/>
      <c r="M75" s="52"/>
      <c r="P75" s="115"/>
    </row>
    <row r="76" spans="3:16" s="140" customFormat="1" ht="12.75">
      <c r="C76" s="141"/>
      <c r="D76" s="106" t="s">
        <v>406</v>
      </c>
      <c r="E76" s="67" t="s">
        <v>221</v>
      </c>
      <c r="F76" s="68" t="s">
        <v>253</v>
      </c>
      <c r="G76" s="143">
        <f t="shared" si="0"/>
        <v>5.6268454301075268</v>
      </c>
      <c r="H76" s="122">
        <f>H37/744</f>
        <v>0</v>
      </c>
      <c r="I76" s="122">
        <f>I37/744</f>
        <v>0.96272849462365584</v>
      </c>
      <c r="J76" s="122">
        <f>J37/744</f>
        <v>3.3189045698924731</v>
      </c>
      <c r="K76" s="122">
        <f>K37/744</f>
        <v>1.3452123655913979</v>
      </c>
      <c r="L76" s="142"/>
      <c r="M76" s="52"/>
      <c r="P76" s="115"/>
    </row>
    <row r="77" spans="3:16" s="140" customFormat="1" ht="12.75">
      <c r="C77" s="141"/>
      <c r="D77" s="106" t="s">
        <v>490</v>
      </c>
      <c r="E77" s="69" t="s">
        <v>504</v>
      </c>
      <c r="F77" s="68" t="s">
        <v>254</v>
      </c>
      <c r="G77" s="143">
        <f t="shared" si="0"/>
        <v>0</v>
      </c>
      <c r="H77" s="122"/>
      <c r="I77" s="122"/>
      <c r="J77" s="122"/>
      <c r="K77" s="122"/>
      <c r="L77" s="142"/>
      <c r="M77" s="52"/>
      <c r="P77" s="115"/>
    </row>
    <row r="78" spans="3:16" s="140" customFormat="1" ht="12.75">
      <c r="C78" s="141"/>
      <c r="D78" s="106" t="s">
        <v>491</v>
      </c>
      <c r="E78" s="71" t="s">
        <v>476</v>
      </c>
      <c r="F78" s="68" t="s">
        <v>255</v>
      </c>
      <c r="G78" s="143">
        <f t="shared" si="0"/>
        <v>0</v>
      </c>
      <c r="H78" s="122"/>
      <c r="I78" s="122"/>
      <c r="J78" s="122"/>
      <c r="K78" s="122"/>
      <c r="L78" s="142"/>
      <c r="M78" s="52"/>
      <c r="P78" s="115"/>
    </row>
    <row r="79" spans="3:16" s="140" customFormat="1" ht="12.75">
      <c r="C79" s="141"/>
      <c r="D79" s="106" t="s">
        <v>407</v>
      </c>
      <c r="E79" s="67" t="s">
        <v>505</v>
      </c>
      <c r="F79" s="68" t="s">
        <v>256</v>
      </c>
      <c r="G79" s="143">
        <f t="shared" si="0"/>
        <v>5.1857795698924729</v>
      </c>
      <c r="H79" s="143">
        <f>SUM(H80:H82)</f>
        <v>0</v>
      </c>
      <c r="I79" s="143">
        <f>SUM(I80:I82)</f>
        <v>5.1857795698924729</v>
      </c>
      <c r="J79" s="143">
        <f>SUM(J80:J82)</f>
        <v>0</v>
      </c>
      <c r="K79" s="143">
        <f>SUM(K80:K82)</f>
        <v>0</v>
      </c>
      <c r="L79" s="142"/>
      <c r="M79" s="52"/>
      <c r="P79" s="115"/>
    </row>
    <row r="80" spans="3:16" s="140" customFormat="1" ht="12.75">
      <c r="C80" s="141"/>
      <c r="D80" s="113" t="s">
        <v>497</v>
      </c>
      <c r="E80" s="144"/>
      <c r="F80" s="84" t="s">
        <v>256</v>
      </c>
      <c r="G80" s="145"/>
      <c r="H80" s="145"/>
      <c r="I80" s="145"/>
      <c r="J80" s="145"/>
      <c r="K80" s="145"/>
      <c r="L80" s="142"/>
      <c r="M80" s="52"/>
      <c r="P80" s="115"/>
    </row>
    <row r="81" spans="3:16" s="140" customFormat="1" ht="14.25">
      <c r="C81" s="121" t="s">
        <v>0</v>
      </c>
      <c r="D81" s="146" t="s">
        <v>1877</v>
      </c>
      <c r="E81" s="82" t="s">
        <v>1467</v>
      </c>
      <c r="F81" s="79">
        <v>1781</v>
      </c>
      <c r="G81" s="147">
        <f>SUM(H81:K81)</f>
        <v>5.1857795698924729</v>
      </c>
      <c r="H81" s="148"/>
      <c r="I81" s="148">
        <f>I42/744</f>
        <v>5.1857795698924729</v>
      </c>
      <c r="J81" s="148"/>
      <c r="K81" s="149"/>
      <c r="L81" s="142"/>
      <c r="M81" s="85" t="s">
        <v>1468</v>
      </c>
      <c r="N81" s="86" t="s">
        <v>1451</v>
      </c>
      <c r="O81" s="86" t="s">
        <v>1466</v>
      </c>
    </row>
    <row r="82" spans="3:16" s="140" customFormat="1" ht="12.75">
      <c r="C82" s="141"/>
      <c r="D82" s="108"/>
      <c r="E82" s="104" t="s">
        <v>334</v>
      </c>
      <c r="F82" s="73"/>
      <c r="G82" s="73"/>
      <c r="H82" s="73"/>
      <c r="I82" s="73"/>
      <c r="J82" s="73"/>
      <c r="K82" s="74"/>
      <c r="L82" s="142"/>
      <c r="M82" s="52"/>
      <c r="P82" s="115"/>
    </row>
    <row r="83" spans="3:16" s="140" customFormat="1" ht="12.75">
      <c r="C83" s="141"/>
      <c r="D83" s="106" t="s">
        <v>408</v>
      </c>
      <c r="E83" s="105" t="s">
        <v>477</v>
      </c>
      <c r="F83" s="68" t="s">
        <v>257</v>
      </c>
      <c r="G83" s="143">
        <f t="shared" si="0"/>
        <v>0</v>
      </c>
      <c r="H83" s="122"/>
      <c r="I83" s="122"/>
      <c r="J83" s="122"/>
      <c r="K83" s="122"/>
      <c r="L83" s="142"/>
      <c r="M83" s="52"/>
      <c r="P83" s="115">
        <v>410</v>
      </c>
    </row>
    <row r="84" spans="3:16" s="140" customFormat="1" ht="12.75">
      <c r="C84" s="141"/>
      <c r="D84" s="106" t="s">
        <v>409</v>
      </c>
      <c r="E84" s="88" t="s">
        <v>159</v>
      </c>
      <c r="F84" s="68" t="s">
        <v>258</v>
      </c>
      <c r="G84" s="143">
        <f t="shared" si="0"/>
        <v>3.8797795698924751</v>
      </c>
      <c r="H84" s="122">
        <f>H45/744</f>
        <v>1.3666841397849463</v>
      </c>
      <c r="I84" s="122">
        <f>I45/744</f>
        <v>1.1401196236559143</v>
      </c>
      <c r="J84" s="122">
        <f>J45/744</f>
        <v>1.3729758064516138</v>
      </c>
      <c r="K84" s="122">
        <f>K45/744</f>
        <v>8.4997719734743171E-16</v>
      </c>
      <c r="L84" s="142"/>
      <c r="M84" s="52"/>
      <c r="P84" s="115">
        <v>440</v>
      </c>
    </row>
    <row r="85" spans="3:16" s="140" customFormat="1" ht="12.75">
      <c r="C85" s="141"/>
      <c r="D85" s="106" t="s">
        <v>410</v>
      </c>
      <c r="E85" s="88" t="s">
        <v>160</v>
      </c>
      <c r="F85" s="68" t="s">
        <v>259</v>
      </c>
      <c r="G85" s="143">
        <f t="shared" si="0"/>
        <v>0</v>
      </c>
      <c r="H85" s="122"/>
      <c r="I85" s="122"/>
      <c r="J85" s="122"/>
      <c r="K85" s="122"/>
      <c r="L85" s="142"/>
      <c r="M85" s="52"/>
      <c r="P85" s="115">
        <v>450</v>
      </c>
    </row>
    <row r="86" spans="3:16" s="140" customFormat="1" ht="12.75">
      <c r="C86" s="141"/>
      <c r="D86" s="106" t="s">
        <v>411</v>
      </c>
      <c r="E86" s="88" t="s">
        <v>162</v>
      </c>
      <c r="F86" s="68" t="s">
        <v>260</v>
      </c>
      <c r="G86" s="143">
        <f t="shared" si="0"/>
        <v>0</v>
      </c>
      <c r="H86" s="122"/>
      <c r="I86" s="122"/>
      <c r="J86" s="122"/>
      <c r="K86" s="122"/>
      <c r="L86" s="142"/>
      <c r="M86" s="52"/>
      <c r="P86" s="115">
        <v>470</v>
      </c>
    </row>
    <row r="87" spans="3:16" s="140" customFormat="1" ht="12.75">
      <c r="C87" s="141"/>
      <c r="D87" s="106" t="s">
        <v>412</v>
      </c>
      <c r="E87" s="88" t="s">
        <v>473</v>
      </c>
      <c r="F87" s="68" t="s">
        <v>261</v>
      </c>
      <c r="G87" s="143">
        <f t="shared" si="0"/>
        <v>0.23996774193548387</v>
      </c>
      <c r="H87" s="122">
        <f>H48/744</f>
        <v>1.8951612903225806E-4</v>
      </c>
      <c r="I87" s="122">
        <f>I48/744</f>
        <v>0.20020026881720432</v>
      </c>
      <c r="J87" s="122">
        <f>J48/744</f>
        <v>1.1814516129032259E-2</v>
      </c>
      <c r="K87" s="122">
        <f>K48/744</f>
        <v>2.7763440860215052E-2</v>
      </c>
      <c r="L87" s="142"/>
      <c r="M87" s="52"/>
      <c r="P87" s="115">
        <v>480</v>
      </c>
    </row>
    <row r="88" spans="3:16" s="140" customFormat="1" ht="12.75">
      <c r="C88" s="141"/>
      <c r="D88" s="106" t="s">
        <v>413</v>
      </c>
      <c r="E88" s="67" t="s">
        <v>233</v>
      </c>
      <c r="F88" s="68" t="s">
        <v>262</v>
      </c>
      <c r="G88" s="143">
        <f t="shared" si="0"/>
        <v>0</v>
      </c>
      <c r="H88" s="122"/>
      <c r="I88" s="122"/>
      <c r="J88" s="122"/>
      <c r="K88" s="122"/>
      <c r="L88" s="142"/>
      <c r="M88" s="52"/>
      <c r="P88" s="115">
        <v>490</v>
      </c>
    </row>
    <row r="89" spans="3:16" s="140" customFormat="1" ht="22.5">
      <c r="C89" s="141"/>
      <c r="D89" s="106" t="s">
        <v>414</v>
      </c>
      <c r="E89" s="88" t="s">
        <v>417</v>
      </c>
      <c r="F89" s="68" t="s">
        <v>263</v>
      </c>
      <c r="G89" s="143">
        <f t="shared" si="0"/>
        <v>0.2464784946236559</v>
      </c>
      <c r="H89" s="122"/>
      <c r="I89" s="122">
        <f>I50/744</f>
        <v>6.3532296774193545E-2</v>
      </c>
      <c r="J89" s="122">
        <f>J50/744</f>
        <v>9.1798450537634413E-2</v>
      </c>
      <c r="K89" s="122">
        <f>K50/744</f>
        <v>9.1147747311827954E-2</v>
      </c>
      <c r="L89" s="142"/>
      <c r="M89" s="52"/>
      <c r="P89" s="115"/>
    </row>
    <row r="90" spans="3:16" s="140" customFormat="1" ht="33.75">
      <c r="C90" s="141"/>
      <c r="D90" s="106" t="s">
        <v>415</v>
      </c>
      <c r="E90" s="89" t="s">
        <v>236</v>
      </c>
      <c r="F90" s="68" t="s">
        <v>264</v>
      </c>
      <c r="G90" s="143">
        <f t="shared" si="0"/>
        <v>-6.510752688172014E-3</v>
      </c>
      <c r="H90" s="143">
        <f>H87-H89</f>
        <v>1.8951612903225806E-4</v>
      </c>
      <c r="I90" s="143">
        <f>I87-I89</f>
        <v>0.13666797204301079</v>
      </c>
      <c r="J90" s="143">
        <f>J87-J89</f>
        <v>-7.9983934408602159E-2</v>
      </c>
      <c r="K90" s="143">
        <f>K87-K89</f>
        <v>-6.3384306451612901E-2</v>
      </c>
      <c r="L90" s="142"/>
      <c r="M90" s="52"/>
      <c r="P90" s="115"/>
    </row>
    <row r="91" spans="3:16" s="140" customFormat="1" ht="12.75">
      <c r="C91" s="141"/>
      <c r="D91" s="106" t="s">
        <v>416</v>
      </c>
      <c r="E91" s="88" t="s">
        <v>163</v>
      </c>
      <c r="F91" s="68" t="s">
        <v>265</v>
      </c>
      <c r="G91" s="143">
        <f t="shared" si="0"/>
        <v>0</v>
      </c>
      <c r="H91" s="143">
        <f>(H54+H67+H72)-(H73+H84+H85+H86+H87)</f>
        <v>0</v>
      </c>
      <c r="I91" s="143">
        <f>(I54+I67+I72)-(I73+I84+I85+I86+I87)</f>
        <v>0</v>
      </c>
      <c r="J91" s="143">
        <f>(J54+J67+J72)-(J73+J84+J85+J86+J87)</f>
        <v>0</v>
      </c>
      <c r="K91" s="143">
        <f>(K54+K67+K72)-(K73+K84+K85+K86+K87)</f>
        <v>0</v>
      </c>
      <c r="L91" s="142"/>
      <c r="M91" s="52"/>
      <c r="P91" s="115">
        <v>500</v>
      </c>
    </row>
    <row r="92" spans="3:16" s="140" customFormat="1" ht="12.75">
      <c r="C92" s="141"/>
      <c r="D92" s="174" t="s">
        <v>202</v>
      </c>
      <c r="E92" s="175"/>
      <c r="F92" s="175"/>
      <c r="G92" s="175"/>
      <c r="H92" s="175"/>
      <c r="I92" s="175"/>
      <c r="J92" s="175"/>
      <c r="K92" s="176"/>
      <c r="L92" s="142"/>
      <c r="M92" s="52"/>
      <c r="P92" s="116"/>
    </row>
    <row r="93" spans="3:16" s="140" customFormat="1" ht="12.75">
      <c r="C93" s="141"/>
      <c r="D93" s="106" t="s">
        <v>418</v>
      </c>
      <c r="E93" s="88" t="s">
        <v>164</v>
      </c>
      <c r="F93" s="68" t="s">
        <v>266</v>
      </c>
      <c r="G93" s="143">
        <f t="shared" si="0"/>
        <v>0</v>
      </c>
      <c r="H93" s="122"/>
      <c r="I93" s="122"/>
      <c r="J93" s="122"/>
      <c r="K93" s="122"/>
      <c r="L93" s="142"/>
      <c r="M93" s="52"/>
      <c r="P93" s="115">
        <v>600</v>
      </c>
    </row>
    <row r="94" spans="3:16" s="140" customFormat="1" ht="12.75">
      <c r="C94" s="141"/>
      <c r="D94" s="106" t="s">
        <v>419</v>
      </c>
      <c r="E94" s="88" t="s">
        <v>165</v>
      </c>
      <c r="F94" s="68" t="s">
        <v>267</v>
      </c>
      <c r="G94" s="143">
        <f t="shared" si="0"/>
        <v>56.423000000000002</v>
      </c>
      <c r="H94" s="122"/>
      <c r="I94" s="122">
        <v>56.423000000000002</v>
      </c>
      <c r="J94" s="122"/>
      <c r="K94" s="122"/>
      <c r="L94" s="142"/>
      <c r="M94" s="52"/>
      <c r="P94" s="115">
        <v>610</v>
      </c>
    </row>
    <row r="95" spans="3:16" s="140" customFormat="1" ht="12.75">
      <c r="C95" s="141"/>
      <c r="D95" s="106" t="s">
        <v>420</v>
      </c>
      <c r="E95" s="88" t="s">
        <v>166</v>
      </c>
      <c r="F95" s="68" t="s">
        <v>268</v>
      </c>
      <c r="G95" s="143">
        <f t="shared" si="0"/>
        <v>0</v>
      </c>
      <c r="H95" s="122"/>
      <c r="I95" s="122"/>
      <c r="J95" s="122"/>
      <c r="K95" s="122"/>
      <c r="L95" s="142"/>
      <c r="M95" s="52"/>
      <c r="P95" s="115">
        <v>620</v>
      </c>
    </row>
    <row r="96" spans="3:16" s="140" customFormat="1" ht="12.75">
      <c r="C96" s="141"/>
      <c r="D96" s="174" t="s">
        <v>209</v>
      </c>
      <c r="E96" s="175"/>
      <c r="F96" s="175"/>
      <c r="G96" s="175"/>
      <c r="H96" s="175"/>
      <c r="I96" s="175"/>
      <c r="J96" s="175"/>
      <c r="K96" s="176"/>
      <c r="L96" s="142"/>
      <c r="M96" s="52"/>
      <c r="P96" s="116"/>
    </row>
    <row r="97" spans="3:16" s="140" customFormat="1" ht="12.75">
      <c r="C97" s="141"/>
      <c r="D97" s="106" t="s">
        <v>421</v>
      </c>
      <c r="E97" s="88" t="s">
        <v>506</v>
      </c>
      <c r="F97" s="68" t="s">
        <v>269</v>
      </c>
      <c r="G97" s="143">
        <f t="shared" si="0"/>
        <v>0</v>
      </c>
      <c r="H97" s="143">
        <f>SUM(H98:H99)</f>
        <v>0</v>
      </c>
      <c r="I97" s="143">
        <f>SUM(I98:I99)</f>
        <v>0</v>
      </c>
      <c r="J97" s="143">
        <f>SUM(J98:J99)</f>
        <v>0</v>
      </c>
      <c r="K97" s="143">
        <f>SUM(K98:K99)</f>
        <v>0</v>
      </c>
      <c r="L97" s="142"/>
      <c r="M97" s="52"/>
      <c r="P97" s="115">
        <v>700</v>
      </c>
    </row>
    <row r="98" spans="3:16" ht="12.75">
      <c r="C98" s="130"/>
      <c r="D98" s="107" t="s">
        <v>422</v>
      </c>
      <c r="E98" s="67" t="s">
        <v>167</v>
      </c>
      <c r="F98" s="68" t="s">
        <v>270</v>
      </c>
      <c r="G98" s="143">
        <f t="shared" si="0"/>
        <v>0</v>
      </c>
      <c r="H98" s="152"/>
      <c r="I98" s="152"/>
      <c r="J98" s="152"/>
      <c r="K98" s="152"/>
      <c r="L98" s="137"/>
      <c r="M98" s="52"/>
      <c r="P98" s="115">
        <v>710</v>
      </c>
    </row>
    <row r="99" spans="3:16" ht="12.75">
      <c r="C99" s="130"/>
      <c r="D99" s="107" t="s">
        <v>423</v>
      </c>
      <c r="E99" s="67" t="s">
        <v>507</v>
      </c>
      <c r="F99" s="68" t="s">
        <v>271</v>
      </c>
      <c r="G99" s="143">
        <f t="shared" si="0"/>
        <v>0</v>
      </c>
      <c r="H99" s="153">
        <f>H102</f>
        <v>0</v>
      </c>
      <c r="I99" s="153">
        <f>I102</f>
        <v>0</v>
      </c>
      <c r="J99" s="153">
        <f>J102</f>
        <v>0</v>
      </c>
      <c r="K99" s="153">
        <f>K102</f>
        <v>0</v>
      </c>
      <c r="L99" s="137"/>
      <c r="M99" s="52"/>
      <c r="P99" s="115">
        <v>720</v>
      </c>
    </row>
    <row r="100" spans="3:16" ht="12.75">
      <c r="C100" s="130"/>
      <c r="D100" s="107" t="s">
        <v>424</v>
      </c>
      <c r="E100" s="69" t="s">
        <v>508</v>
      </c>
      <c r="F100" s="68" t="s">
        <v>273</v>
      </c>
      <c r="G100" s="143">
        <f t="shared" si="0"/>
        <v>0</v>
      </c>
      <c r="H100" s="152"/>
      <c r="I100" s="152"/>
      <c r="J100" s="152"/>
      <c r="K100" s="152"/>
      <c r="L100" s="137"/>
      <c r="M100" s="52"/>
      <c r="P100" s="115">
        <v>730</v>
      </c>
    </row>
    <row r="101" spans="3:16" ht="12.75">
      <c r="C101" s="130"/>
      <c r="D101" s="107" t="s">
        <v>425</v>
      </c>
      <c r="E101" s="71" t="s">
        <v>509</v>
      </c>
      <c r="F101" s="68" t="s">
        <v>274</v>
      </c>
      <c r="G101" s="143">
        <f t="shared" si="0"/>
        <v>0</v>
      </c>
      <c r="H101" s="152"/>
      <c r="I101" s="152"/>
      <c r="J101" s="152"/>
      <c r="K101" s="152"/>
      <c r="L101" s="137"/>
      <c r="M101" s="52"/>
      <c r="P101" s="115"/>
    </row>
    <row r="102" spans="3:16" ht="12.75">
      <c r="C102" s="130"/>
      <c r="D102" s="107" t="s">
        <v>426</v>
      </c>
      <c r="E102" s="69" t="s">
        <v>478</v>
      </c>
      <c r="F102" s="68" t="s">
        <v>275</v>
      </c>
      <c r="G102" s="143">
        <f t="shared" si="0"/>
        <v>0</v>
      </c>
      <c r="H102" s="152"/>
      <c r="I102" s="152"/>
      <c r="J102" s="152"/>
      <c r="K102" s="152"/>
      <c r="L102" s="137"/>
      <c r="M102" s="52"/>
      <c r="P102" s="115">
        <v>740</v>
      </c>
    </row>
    <row r="103" spans="3:16" ht="12.75">
      <c r="C103" s="130"/>
      <c r="D103" s="107" t="s">
        <v>427</v>
      </c>
      <c r="E103" s="88" t="s">
        <v>510</v>
      </c>
      <c r="F103" s="68" t="s">
        <v>277</v>
      </c>
      <c r="G103" s="143">
        <f t="shared" si="0"/>
        <v>0</v>
      </c>
      <c r="H103" s="153">
        <f>H104+H120</f>
        <v>0</v>
      </c>
      <c r="I103" s="153">
        <f>I104+I120</f>
        <v>0</v>
      </c>
      <c r="J103" s="153">
        <f>J104+J120</f>
        <v>0</v>
      </c>
      <c r="K103" s="153">
        <f>K104+K120</f>
        <v>0</v>
      </c>
      <c r="L103" s="137"/>
      <c r="M103" s="52"/>
      <c r="P103" s="115">
        <v>750</v>
      </c>
    </row>
    <row r="104" spans="3:16" ht="12.75">
      <c r="C104" s="130"/>
      <c r="D104" s="107" t="s">
        <v>428</v>
      </c>
      <c r="E104" s="67" t="s">
        <v>279</v>
      </c>
      <c r="F104" s="68" t="s">
        <v>278</v>
      </c>
      <c r="G104" s="143">
        <f t="shared" si="0"/>
        <v>0</v>
      </c>
      <c r="H104" s="153">
        <f>H105+H106</f>
        <v>0</v>
      </c>
      <c r="I104" s="153">
        <f>I105+I106</f>
        <v>0</v>
      </c>
      <c r="J104" s="153">
        <f>J105+J106</f>
        <v>0</v>
      </c>
      <c r="K104" s="153">
        <f>K105+K106</f>
        <v>0</v>
      </c>
      <c r="L104" s="137"/>
      <c r="M104" s="52"/>
      <c r="P104" s="115">
        <v>760</v>
      </c>
    </row>
    <row r="105" spans="3:16" ht="12.75">
      <c r="C105" s="130"/>
      <c r="D105" s="107" t="s">
        <v>429</v>
      </c>
      <c r="E105" s="69" t="s">
        <v>222</v>
      </c>
      <c r="F105" s="68" t="s">
        <v>280</v>
      </c>
      <c r="G105" s="143">
        <f t="shared" si="0"/>
        <v>0</v>
      </c>
      <c r="H105" s="152"/>
      <c r="I105" s="152"/>
      <c r="J105" s="152"/>
      <c r="K105" s="152"/>
      <c r="L105" s="137"/>
      <c r="M105" s="52"/>
      <c r="P105" s="115"/>
    </row>
    <row r="106" spans="3:16" ht="12.75">
      <c r="C106" s="130"/>
      <c r="D106" s="107" t="s">
        <v>430</v>
      </c>
      <c r="E106" s="69" t="s">
        <v>511</v>
      </c>
      <c r="F106" s="68" t="s">
        <v>281</v>
      </c>
      <c r="G106" s="143">
        <f t="shared" si="0"/>
        <v>0</v>
      </c>
      <c r="H106" s="153">
        <f>H107+H110+H113+H116+H117+H118+H119</f>
        <v>0</v>
      </c>
      <c r="I106" s="153">
        <f>I107+I110+I113+I116+I117+I118+I119</f>
        <v>0</v>
      </c>
      <c r="J106" s="153">
        <f>J107+J110+J113+J116+J117+J118+J119</f>
        <v>0</v>
      </c>
      <c r="K106" s="153">
        <f>K107+K110+K113+K116+K117+K118+K119</f>
        <v>0</v>
      </c>
      <c r="L106" s="137"/>
      <c r="M106" s="52"/>
      <c r="P106" s="115"/>
    </row>
    <row r="107" spans="3:16" ht="45">
      <c r="C107" s="130"/>
      <c r="D107" s="107" t="s">
        <v>431</v>
      </c>
      <c r="E107" s="71" t="s">
        <v>512</v>
      </c>
      <c r="F107" s="68" t="s">
        <v>282</v>
      </c>
      <c r="G107" s="143">
        <f t="shared" si="0"/>
        <v>0</v>
      </c>
      <c r="H107" s="154">
        <f>H108+H109</f>
        <v>0</v>
      </c>
      <c r="I107" s="154">
        <f>I108+I109</f>
        <v>0</v>
      </c>
      <c r="J107" s="154">
        <f>J108+J109</f>
        <v>0</v>
      </c>
      <c r="K107" s="154">
        <f>K108+K109</f>
        <v>0</v>
      </c>
      <c r="L107" s="137"/>
      <c r="M107" s="52"/>
      <c r="P107" s="115"/>
    </row>
    <row r="108" spans="3:16" ht="12.75">
      <c r="C108" s="130"/>
      <c r="D108" s="107" t="s">
        <v>433</v>
      </c>
      <c r="E108" s="72" t="s">
        <v>283</v>
      </c>
      <c r="F108" s="68" t="s">
        <v>284</v>
      </c>
      <c r="G108" s="143">
        <f t="shared" si="0"/>
        <v>0</v>
      </c>
      <c r="H108" s="152"/>
      <c r="I108" s="152"/>
      <c r="J108" s="152"/>
      <c r="K108" s="152"/>
      <c r="L108" s="137"/>
      <c r="M108" s="52"/>
      <c r="P108" s="115"/>
    </row>
    <row r="109" spans="3:16" ht="12.75">
      <c r="C109" s="130"/>
      <c r="D109" s="107" t="s">
        <v>434</v>
      </c>
      <c r="E109" s="72" t="s">
        <v>285</v>
      </c>
      <c r="F109" s="68" t="s">
        <v>286</v>
      </c>
      <c r="G109" s="143">
        <f t="shared" si="0"/>
        <v>0</v>
      </c>
      <c r="H109" s="152"/>
      <c r="I109" s="152"/>
      <c r="J109" s="152"/>
      <c r="K109" s="152"/>
      <c r="L109" s="137"/>
      <c r="M109" s="52"/>
      <c r="P109" s="115"/>
    </row>
    <row r="110" spans="3:16" ht="45">
      <c r="C110" s="130"/>
      <c r="D110" s="107" t="s">
        <v>432</v>
      </c>
      <c r="E110" s="71" t="s">
        <v>513</v>
      </c>
      <c r="F110" s="68" t="s">
        <v>287</v>
      </c>
      <c r="G110" s="143">
        <f t="shared" si="0"/>
        <v>0</v>
      </c>
      <c r="H110" s="154">
        <f>H111+H112</f>
        <v>0</v>
      </c>
      <c r="I110" s="154">
        <f>I111+I112</f>
        <v>0</v>
      </c>
      <c r="J110" s="154">
        <f>J111+J112</f>
        <v>0</v>
      </c>
      <c r="K110" s="154">
        <f>K111+K112</f>
        <v>0</v>
      </c>
      <c r="L110" s="137"/>
      <c r="M110" s="52"/>
      <c r="P110" s="115"/>
    </row>
    <row r="111" spans="3:16" ht="12.75">
      <c r="C111" s="130"/>
      <c r="D111" s="107" t="s">
        <v>435</v>
      </c>
      <c r="E111" s="72" t="s">
        <v>283</v>
      </c>
      <c r="F111" s="68" t="s">
        <v>288</v>
      </c>
      <c r="G111" s="143">
        <f t="shared" si="0"/>
        <v>0</v>
      </c>
      <c r="H111" s="152"/>
      <c r="I111" s="152"/>
      <c r="J111" s="152"/>
      <c r="K111" s="152"/>
      <c r="L111" s="137"/>
      <c r="M111" s="52"/>
      <c r="P111" s="115"/>
    </row>
    <row r="112" spans="3:16" ht="12.75">
      <c r="C112" s="130"/>
      <c r="D112" s="107" t="s">
        <v>436</v>
      </c>
      <c r="E112" s="72" t="s">
        <v>285</v>
      </c>
      <c r="F112" s="68" t="s">
        <v>289</v>
      </c>
      <c r="G112" s="143">
        <f t="shared" si="0"/>
        <v>0</v>
      </c>
      <c r="H112" s="152"/>
      <c r="I112" s="152"/>
      <c r="J112" s="152"/>
      <c r="K112" s="152"/>
      <c r="L112" s="137"/>
      <c r="M112" s="52"/>
      <c r="P112" s="115"/>
    </row>
    <row r="113" spans="3:16" ht="22.5">
      <c r="C113" s="130"/>
      <c r="D113" s="107" t="s">
        <v>437</v>
      </c>
      <c r="E113" s="71" t="s">
        <v>514</v>
      </c>
      <c r="F113" s="68" t="s">
        <v>290</v>
      </c>
      <c r="G113" s="143">
        <f t="shared" si="0"/>
        <v>0</v>
      </c>
      <c r="H113" s="154">
        <f>H114+H115</f>
        <v>0</v>
      </c>
      <c r="I113" s="154">
        <f>I114+I115</f>
        <v>0</v>
      </c>
      <c r="J113" s="154">
        <f>J114+J115</f>
        <v>0</v>
      </c>
      <c r="K113" s="154">
        <f>K114+K115</f>
        <v>0</v>
      </c>
      <c r="L113" s="137"/>
      <c r="M113" s="52"/>
      <c r="P113" s="115"/>
    </row>
    <row r="114" spans="3:16" ht="12.75">
      <c r="C114" s="130"/>
      <c r="D114" s="107" t="s">
        <v>438</v>
      </c>
      <c r="E114" s="72" t="s">
        <v>283</v>
      </c>
      <c r="F114" s="68" t="s">
        <v>291</v>
      </c>
      <c r="G114" s="143">
        <f t="shared" si="0"/>
        <v>0</v>
      </c>
      <c r="H114" s="152"/>
      <c r="I114" s="152"/>
      <c r="J114" s="152"/>
      <c r="K114" s="152"/>
      <c r="L114" s="137"/>
      <c r="M114" s="52"/>
      <c r="P114" s="115"/>
    </row>
    <row r="115" spans="3:16" ht="12.75">
      <c r="C115" s="130"/>
      <c r="D115" s="107" t="s">
        <v>439</v>
      </c>
      <c r="E115" s="72" t="s">
        <v>285</v>
      </c>
      <c r="F115" s="68" t="s">
        <v>292</v>
      </c>
      <c r="G115" s="143">
        <f t="shared" si="0"/>
        <v>0</v>
      </c>
      <c r="H115" s="152"/>
      <c r="I115" s="152"/>
      <c r="J115" s="152"/>
      <c r="K115" s="152"/>
      <c r="L115" s="137"/>
      <c r="M115" s="52"/>
      <c r="P115" s="115"/>
    </row>
    <row r="116" spans="3:16" ht="22.5">
      <c r="C116" s="130"/>
      <c r="D116" s="107" t="s">
        <v>440</v>
      </c>
      <c r="E116" s="71" t="s">
        <v>293</v>
      </c>
      <c r="F116" s="68" t="s">
        <v>294</v>
      </c>
      <c r="G116" s="143">
        <f t="shared" si="0"/>
        <v>0</v>
      </c>
      <c r="H116" s="152"/>
      <c r="I116" s="152"/>
      <c r="J116" s="152"/>
      <c r="K116" s="152"/>
      <c r="L116" s="137"/>
      <c r="M116" s="52"/>
      <c r="P116" s="115"/>
    </row>
    <row r="117" spans="3:16" ht="12.75">
      <c r="C117" s="130"/>
      <c r="D117" s="107" t="s">
        <v>441</v>
      </c>
      <c r="E117" s="71" t="s">
        <v>295</v>
      </c>
      <c r="F117" s="68" t="s">
        <v>296</v>
      </c>
      <c r="G117" s="143">
        <f t="shared" si="0"/>
        <v>0</v>
      </c>
      <c r="H117" s="152"/>
      <c r="I117" s="152"/>
      <c r="J117" s="152"/>
      <c r="K117" s="152"/>
      <c r="L117" s="137"/>
      <c r="M117" s="52"/>
      <c r="P117" s="115"/>
    </row>
    <row r="118" spans="3:16" ht="45">
      <c r="C118" s="130"/>
      <c r="D118" s="107" t="s">
        <v>442</v>
      </c>
      <c r="E118" s="71" t="s">
        <v>479</v>
      </c>
      <c r="F118" s="68" t="s">
        <v>297</v>
      </c>
      <c r="G118" s="143">
        <f t="shared" si="0"/>
        <v>0</v>
      </c>
      <c r="H118" s="152"/>
      <c r="I118" s="152"/>
      <c r="J118" s="152"/>
      <c r="K118" s="152"/>
      <c r="L118" s="137"/>
      <c r="M118" s="52"/>
      <c r="P118" s="115"/>
    </row>
    <row r="119" spans="3:16" ht="22.5">
      <c r="C119" s="130"/>
      <c r="D119" s="107" t="s">
        <v>443</v>
      </c>
      <c r="E119" s="71" t="s">
        <v>298</v>
      </c>
      <c r="F119" s="68" t="s">
        <v>299</v>
      </c>
      <c r="G119" s="143">
        <f t="shared" si="0"/>
        <v>0</v>
      </c>
      <c r="H119" s="152"/>
      <c r="I119" s="152"/>
      <c r="J119" s="152"/>
      <c r="K119" s="152"/>
      <c r="L119" s="137"/>
      <c r="M119" s="52"/>
      <c r="P119" s="115"/>
    </row>
    <row r="120" spans="3:16" ht="12.75">
      <c r="C120" s="130"/>
      <c r="D120" s="107" t="s">
        <v>444</v>
      </c>
      <c r="E120" s="67" t="s">
        <v>515</v>
      </c>
      <c r="F120" s="68" t="s">
        <v>300</v>
      </c>
      <c r="G120" s="143">
        <f t="shared" si="0"/>
        <v>0</v>
      </c>
      <c r="H120" s="153">
        <f>H123</f>
        <v>0</v>
      </c>
      <c r="I120" s="153">
        <f>I123</f>
        <v>0</v>
      </c>
      <c r="J120" s="153">
        <f>J123</f>
        <v>0</v>
      </c>
      <c r="K120" s="153">
        <f>K123</f>
        <v>0</v>
      </c>
      <c r="L120" s="137"/>
      <c r="M120" s="52"/>
      <c r="P120" s="115">
        <v>770</v>
      </c>
    </row>
    <row r="121" spans="3:16" ht="12.75">
      <c r="C121" s="130"/>
      <c r="D121" s="107" t="s">
        <v>445</v>
      </c>
      <c r="E121" s="69" t="s">
        <v>508</v>
      </c>
      <c r="F121" s="68" t="s">
        <v>301</v>
      </c>
      <c r="G121" s="143">
        <f t="shared" si="0"/>
        <v>0</v>
      </c>
      <c r="H121" s="152"/>
      <c r="I121" s="152"/>
      <c r="J121" s="152"/>
      <c r="K121" s="152"/>
      <c r="L121" s="137"/>
      <c r="M121" s="52"/>
      <c r="P121" s="115">
        <v>780</v>
      </c>
    </row>
    <row r="122" spans="3:16" ht="12.75">
      <c r="C122" s="130"/>
      <c r="D122" s="107" t="s">
        <v>446</v>
      </c>
      <c r="E122" s="71" t="s">
        <v>516</v>
      </c>
      <c r="F122" s="68" t="s">
        <v>302</v>
      </c>
      <c r="G122" s="143">
        <f t="shared" si="0"/>
        <v>0</v>
      </c>
      <c r="H122" s="152"/>
      <c r="I122" s="152"/>
      <c r="J122" s="152"/>
      <c r="K122" s="152"/>
      <c r="L122" s="137"/>
      <c r="M122" s="52"/>
      <c r="P122" s="115"/>
    </row>
    <row r="123" spans="3:16" ht="12.75">
      <c r="C123" s="130"/>
      <c r="D123" s="107" t="s">
        <v>447</v>
      </c>
      <c r="E123" s="69" t="s">
        <v>478</v>
      </c>
      <c r="F123" s="68" t="s">
        <v>303</v>
      </c>
      <c r="G123" s="143">
        <f t="shared" si="0"/>
        <v>0</v>
      </c>
      <c r="H123" s="152"/>
      <c r="I123" s="152"/>
      <c r="J123" s="152"/>
      <c r="K123" s="152"/>
      <c r="L123" s="137"/>
      <c r="M123" s="52"/>
      <c r="P123" s="115">
        <v>790</v>
      </c>
    </row>
    <row r="124" spans="3:16" ht="22.5">
      <c r="C124" s="130"/>
      <c r="D124" s="107" t="s">
        <v>448</v>
      </c>
      <c r="E124" s="89" t="s">
        <v>517</v>
      </c>
      <c r="F124" s="68" t="s">
        <v>304</v>
      </c>
      <c r="G124" s="143">
        <f t="shared" si="0"/>
        <v>8223.128999999999</v>
      </c>
      <c r="H124" s="153">
        <f>SUM(H125:H126)</f>
        <v>0.14099999999999999</v>
      </c>
      <c r="I124" s="153">
        <f>SUM(I125:I126)</f>
        <v>4726.5619999999999</v>
      </c>
      <c r="J124" s="153">
        <f>SUM(J125:J126)</f>
        <v>2495.5879999999997</v>
      </c>
      <c r="K124" s="153">
        <f>SUM(K125:K126)</f>
        <v>1000.838</v>
      </c>
      <c r="L124" s="137"/>
      <c r="M124" s="52"/>
      <c r="P124" s="115"/>
    </row>
    <row r="125" spans="3:16" ht="12.75">
      <c r="C125" s="130"/>
      <c r="D125" s="107" t="s">
        <v>449</v>
      </c>
      <c r="E125" s="67" t="s">
        <v>167</v>
      </c>
      <c r="F125" s="68" t="s">
        <v>305</v>
      </c>
      <c r="G125" s="143">
        <f t="shared" si="0"/>
        <v>0</v>
      </c>
      <c r="H125" s="152"/>
      <c r="I125" s="152"/>
      <c r="J125" s="152"/>
      <c r="K125" s="152"/>
      <c r="L125" s="137"/>
      <c r="M125" s="52"/>
      <c r="P125" s="115"/>
    </row>
    <row r="126" spans="3:16" ht="12.75">
      <c r="C126" s="130"/>
      <c r="D126" s="107" t="s">
        <v>450</v>
      </c>
      <c r="E126" s="67" t="s">
        <v>507</v>
      </c>
      <c r="F126" s="68" t="s">
        <v>306</v>
      </c>
      <c r="G126" s="143">
        <f t="shared" si="0"/>
        <v>8223.128999999999</v>
      </c>
      <c r="H126" s="153">
        <f>H128</f>
        <v>0.14099999999999999</v>
      </c>
      <c r="I126" s="153">
        <f>I128</f>
        <v>4726.5619999999999</v>
      </c>
      <c r="J126" s="153">
        <f>J128</f>
        <v>2495.5879999999997</v>
      </c>
      <c r="K126" s="153">
        <f>K128</f>
        <v>1000.838</v>
      </c>
      <c r="L126" s="137"/>
      <c r="M126" s="52"/>
      <c r="P126" s="115"/>
    </row>
    <row r="127" spans="3:16" ht="12.75">
      <c r="C127" s="130"/>
      <c r="D127" s="107" t="s">
        <v>451</v>
      </c>
      <c r="E127" s="69" t="s">
        <v>272</v>
      </c>
      <c r="F127" s="68" t="s">
        <v>307</v>
      </c>
      <c r="G127" s="143">
        <f t="shared" si="0"/>
        <v>56.423000000000002</v>
      </c>
      <c r="H127" s="152"/>
      <c r="I127" s="152">
        <f>I94</f>
        <v>56.423000000000002</v>
      </c>
      <c r="J127" s="152"/>
      <c r="K127" s="152"/>
      <c r="L127" s="137"/>
      <c r="M127" s="52"/>
      <c r="P127" s="115"/>
    </row>
    <row r="128" spans="3:16" ht="12.75">
      <c r="C128" s="130"/>
      <c r="D128" s="107" t="s">
        <v>452</v>
      </c>
      <c r="E128" s="69" t="s">
        <v>478</v>
      </c>
      <c r="F128" s="68" t="s">
        <v>308</v>
      </c>
      <c r="G128" s="143">
        <f t="shared" si="0"/>
        <v>8223.128999999999</v>
      </c>
      <c r="H128" s="152">
        <f>H48+H34</f>
        <v>0.14099999999999999</v>
      </c>
      <c r="I128" s="152">
        <f>I34+152.072</f>
        <v>4726.5619999999999</v>
      </c>
      <c r="J128" s="152">
        <f>J34+4.158+15.326+6.839</f>
        <v>2495.5879999999997</v>
      </c>
      <c r="K128" s="152">
        <f>K34</f>
        <v>1000.838</v>
      </c>
      <c r="L128" s="137"/>
      <c r="M128" s="52"/>
      <c r="P128" s="115"/>
    </row>
    <row r="129" spans="3:16" ht="12.75">
      <c r="C129" s="130"/>
      <c r="D129" s="174" t="s">
        <v>203</v>
      </c>
      <c r="E129" s="175"/>
      <c r="F129" s="175"/>
      <c r="G129" s="175"/>
      <c r="H129" s="175"/>
      <c r="I129" s="175"/>
      <c r="J129" s="175"/>
      <c r="K129" s="176"/>
      <c r="L129" s="137"/>
      <c r="M129" s="52"/>
      <c r="P129" s="117"/>
    </row>
    <row r="130" spans="3:16" ht="22.5">
      <c r="C130" s="130"/>
      <c r="D130" s="107" t="s">
        <v>453</v>
      </c>
      <c r="E130" s="88" t="s">
        <v>518</v>
      </c>
      <c r="F130" s="68" t="s">
        <v>309</v>
      </c>
      <c r="G130" s="143">
        <f t="shared" si="0"/>
        <v>0</v>
      </c>
      <c r="H130" s="153">
        <f>SUM( H131:H132)</f>
        <v>0</v>
      </c>
      <c r="I130" s="153">
        <f>SUM( I131:I132)</f>
        <v>0</v>
      </c>
      <c r="J130" s="153">
        <f>SUM( J131:J132)</f>
        <v>0</v>
      </c>
      <c r="K130" s="153">
        <f>SUM( K131:K132)</f>
        <v>0</v>
      </c>
      <c r="L130" s="137"/>
      <c r="M130" s="52"/>
      <c r="P130" s="115">
        <v>800</v>
      </c>
    </row>
    <row r="131" spans="3:16" ht="12.75">
      <c r="C131" s="130"/>
      <c r="D131" s="107" t="s">
        <v>454</v>
      </c>
      <c r="E131" s="67" t="s">
        <v>167</v>
      </c>
      <c r="F131" s="68" t="s">
        <v>310</v>
      </c>
      <c r="G131" s="143">
        <f t="shared" si="0"/>
        <v>0</v>
      </c>
      <c r="H131" s="152"/>
      <c r="I131" s="152"/>
      <c r="J131" s="152"/>
      <c r="K131" s="152"/>
      <c r="L131" s="137"/>
      <c r="M131" s="52"/>
      <c r="P131" s="115">
        <v>810</v>
      </c>
    </row>
    <row r="132" spans="3:16" ht="12.75">
      <c r="C132" s="130"/>
      <c r="D132" s="107" t="s">
        <v>455</v>
      </c>
      <c r="E132" s="67" t="s">
        <v>507</v>
      </c>
      <c r="F132" s="68" t="s">
        <v>311</v>
      </c>
      <c r="G132" s="143">
        <f t="shared" si="0"/>
        <v>0</v>
      </c>
      <c r="H132" s="153">
        <f>H133+H135</f>
        <v>0</v>
      </c>
      <c r="I132" s="153">
        <f>I133+I135</f>
        <v>0</v>
      </c>
      <c r="J132" s="153">
        <f>J133+J135</f>
        <v>0</v>
      </c>
      <c r="K132" s="153">
        <f>K133+K135</f>
        <v>0</v>
      </c>
      <c r="L132" s="137"/>
      <c r="M132" s="52"/>
      <c r="P132" s="115">
        <v>820</v>
      </c>
    </row>
    <row r="133" spans="3:16" ht="12.75">
      <c r="C133" s="130"/>
      <c r="D133" s="107" t="s">
        <v>456</v>
      </c>
      <c r="E133" s="69" t="s">
        <v>519</v>
      </c>
      <c r="F133" s="68" t="s">
        <v>312</v>
      </c>
      <c r="G133" s="143">
        <f t="shared" si="0"/>
        <v>0</v>
      </c>
      <c r="H133" s="152"/>
      <c r="I133" s="152"/>
      <c r="J133" s="152"/>
      <c r="K133" s="152"/>
      <c r="L133" s="137"/>
      <c r="M133" s="52"/>
      <c r="P133" s="115">
        <v>830</v>
      </c>
    </row>
    <row r="134" spans="3:16" ht="12.75">
      <c r="C134" s="130"/>
      <c r="D134" s="107" t="s">
        <v>457</v>
      </c>
      <c r="E134" s="71" t="s">
        <v>520</v>
      </c>
      <c r="F134" s="68" t="s">
        <v>313</v>
      </c>
      <c r="G134" s="143">
        <f t="shared" si="0"/>
        <v>0</v>
      </c>
      <c r="H134" s="152"/>
      <c r="I134" s="152"/>
      <c r="J134" s="152"/>
      <c r="K134" s="152"/>
      <c r="L134" s="137"/>
      <c r="M134" s="52"/>
      <c r="P134" s="117"/>
    </row>
    <row r="135" spans="3:16" ht="12.75">
      <c r="C135" s="130"/>
      <c r="D135" s="107" t="s">
        <v>458</v>
      </c>
      <c r="E135" s="69" t="s">
        <v>169</v>
      </c>
      <c r="F135" s="68" t="s">
        <v>314</v>
      </c>
      <c r="G135" s="143">
        <f t="shared" si="0"/>
        <v>0</v>
      </c>
      <c r="H135" s="152"/>
      <c r="I135" s="152"/>
      <c r="J135" s="152"/>
      <c r="K135" s="152"/>
      <c r="L135" s="137"/>
      <c r="M135" s="52"/>
      <c r="P135" s="115">
        <v>840</v>
      </c>
    </row>
    <row r="136" spans="3:16" ht="12.75">
      <c r="C136" s="130"/>
      <c r="D136" s="107" t="s">
        <v>336</v>
      </c>
      <c r="E136" s="88" t="s">
        <v>521</v>
      </c>
      <c r="F136" s="68" t="s">
        <v>315</v>
      </c>
      <c r="G136" s="143">
        <f t="shared" si="0"/>
        <v>0</v>
      </c>
      <c r="H136" s="154">
        <f>SUM( H137+H142)</f>
        <v>0</v>
      </c>
      <c r="I136" s="154">
        <f>SUM( I137+I142)</f>
        <v>0</v>
      </c>
      <c r="J136" s="154">
        <f>SUM( J137+J142)</f>
        <v>0</v>
      </c>
      <c r="K136" s="154">
        <f>SUM( K137+K142)</f>
        <v>0</v>
      </c>
      <c r="L136" s="155"/>
      <c r="M136" s="52"/>
      <c r="P136" s="115">
        <v>850</v>
      </c>
    </row>
    <row r="137" spans="3:16" ht="12.75">
      <c r="C137" s="130"/>
      <c r="D137" s="107" t="s">
        <v>459</v>
      </c>
      <c r="E137" s="67" t="s">
        <v>167</v>
      </c>
      <c r="F137" s="68" t="s">
        <v>316</v>
      </c>
      <c r="G137" s="143">
        <f t="shared" ref="G137:G150" si="1">SUM(H137:K137)</f>
        <v>0</v>
      </c>
      <c r="H137" s="154">
        <f>SUM( H138:H139)</f>
        <v>0</v>
      </c>
      <c r="I137" s="154">
        <f>SUM( I138:I139)</f>
        <v>0</v>
      </c>
      <c r="J137" s="154">
        <f>SUM( J138:J139)</f>
        <v>0</v>
      </c>
      <c r="K137" s="154">
        <f>SUM( K138:K139)</f>
        <v>0</v>
      </c>
      <c r="L137" s="155"/>
      <c r="M137" s="52"/>
      <c r="P137" s="115">
        <v>860</v>
      </c>
    </row>
    <row r="138" spans="3:16" ht="12.75">
      <c r="C138" s="130"/>
      <c r="D138" s="107" t="s">
        <v>460</v>
      </c>
      <c r="E138" s="69" t="s">
        <v>222</v>
      </c>
      <c r="F138" s="68" t="s">
        <v>317</v>
      </c>
      <c r="G138" s="143">
        <f t="shared" si="1"/>
        <v>0</v>
      </c>
      <c r="H138" s="156"/>
      <c r="I138" s="156"/>
      <c r="J138" s="156"/>
      <c r="K138" s="156"/>
      <c r="L138" s="155"/>
      <c r="M138" s="52"/>
      <c r="P138" s="115"/>
    </row>
    <row r="139" spans="3:16" ht="12.75">
      <c r="C139" s="130"/>
      <c r="D139" s="107" t="s">
        <v>461</v>
      </c>
      <c r="E139" s="69" t="s">
        <v>511</v>
      </c>
      <c r="F139" s="68" t="s">
        <v>318</v>
      </c>
      <c r="G139" s="143">
        <f t="shared" si="1"/>
        <v>0</v>
      </c>
      <c r="H139" s="154">
        <f>H140+H141</f>
        <v>0</v>
      </c>
      <c r="I139" s="154">
        <f>I140+I141</f>
        <v>0</v>
      </c>
      <c r="J139" s="154">
        <f>J140+J141</f>
        <v>0</v>
      </c>
      <c r="K139" s="154">
        <f>K140+K141</f>
        <v>0</v>
      </c>
      <c r="L139" s="155"/>
      <c r="M139" s="52"/>
      <c r="P139" s="115"/>
    </row>
    <row r="140" spans="3:16" ht="12.75">
      <c r="C140" s="130"/>
      <c r="D140" s="107" t="s">
        <v>462</v>
      </c>
      <c r="E140" s="71" t="s">
        <v>283</v>
      </c>
      <c r="F140" s="68" t="s">
        <v>319</v>
      </c>
      <c r="G140" s="143">
        <f t="shared" si="1"/>
        <v>0</v>
      </c>
      <c r="H140" s="156"/>
      <c r="I140" s="156"/>
      <c r="J140" s="156"/>
      <c r="K140" s="156"/>
      <c r="L140" s="155"/>
      <c r="M140" s="52"/>
      <c r="P140" s="115"/>
    </row>
    <row r="141" spans="3:16" ht="12.75">
      <c r="C141" s="130"/>
      <c r="D141" s="107" t="s">
        <v>463</v>
      </c>
      <c r="E141" s="71" t="s">
        <v>320</v>
      </c>
      <c r="F141" s="68" t="s">
        <v>321</v>
      </c>
      <c r="G141" s="143">
        <f t="shared" si="1"/>
        <v>0</v>
      </c>
      <c r="H141" s="156"/>
      <c r="I141" s="156"/>
      <c r="J141" s="156"/>
      <c r="K141" s="156"/>
      <c r="L141" s="155"/>
      <c r="M141" s="52"/>
      <c r="P141" s="115"/>
    </row>
    <row r="142" spans="3:16" ht="12.75">
      <c r="C142" s="130"/>
      <c r="D142" s="107" t="s">
        <v>464</v>
      </c>
      <c r="E142" s="67" t="s">
        <v>515</v>
      </c>
      <c r="F142" s="68" t="s">
        <v>322</v>
      </c>
      <c r="G142" s="143">
        <f t="shared" si="1"/>
        <v>0</v>
      </c>
      <c r="H142" s="154">
        <f>H143+H145</f>
        <v>0</v>
      </c>
      <c r="I142" s="154">
        <f>I143+I145</f>
        <v>0</v>
      </c>
      <c r="J142" s="154">
        <f>J143+J145</f>
        <v>0</v>
      </c>
      <c r="K142" s="154">
        <f>K143+K145</f>
        <v>0</v>
      </c>
      <c r="L142" s="155"/>
      <c r="M142" s="52"/>
      <c r="P142" s="115">
        <v>870</v>
      </c>
    </row>
    <row r="143" spans="3:16" ht="12.75">
      <c r="C143" s="130"/>
      <c r="D143" s="107" t="s">
        <v>465</v>
      </c>
      <c r="E143" s="69" t="s">
        <v>519</v>
      </c>
      <c r="F143" s="68" t="s">
        <v>323</v>
      </c>
      <c r="G143" s="143">
        <f t="shared" si="1"/>
        <v>0</v>
      </c>
      <c r="H143" s="152"/>
      <c r="I143" s="152"/>
      <c r="J143" s="152"/>
      <c r="K143" s="152"/>
      <c r="L143" s="155"/>
      <c r="M143" s="52"/>
      <c r="P143" s="115">
        <v>880</v>
      </c>
    </row>
    <row r="144" spans="3:16" ht="12.75">
      <c r="C144" s="130"/>
      <c r="D144" s="107" t="s">
        <v>466</v>
      </c>
      <c r="E144" s="71" t="s">
        <v>520</v>
      </c>
      <c r="F144" s="68" t="s">
        <v>324</v>
      </c>
      <c r="G144" s="143">
        <f t="shared" si="1"/>
        <v>0</v>
      </c>
      <c r="H144" s="152"/>
      <c r="I144" s="152"/>
      <c r="J144" s="152"/>
      <c r="K144" s="152"/>
      <c r="L144" s="155"/>
      <c r="M144" s="52"/>
      <c r="P144" s="115"/>
    </row>
    <row r="145" spans="3:19" ht="12.75">
      <c r="C145" s="130"/>
      <c r="D145" s="107" t="s">
        <v>467</v>
      </c>
      <c r="E145" s="69" t="s">
        <v>169</v>
      </c>
      <c r="F145" s="68" t="s">
        <v>325</v>
      </c>
      <c r="G145" s="143">
        <f t="shared" si="1"/>
        <v>0</v>
      </c>
      <c r="H145" s="157"/>
      <c r="I145" s="157"/>
      <c r="J145" s="157"/>
      <c r="K145" s="157"/>
      <c r="L145" s="155"/>
      <c r="M145" s="52"/>
      <c r="P145" s="115">
        <v>890</v>
      </c>
    </row>
    <row r="146" spans="3:19" ht="22.5">
      <c r="C146" s="130"/>
      <c r="D146" s="107" t="s">
        <v>468</v>
      </c>
      <c r="E146" s="88" t="s">
        <v>522</v>
      </c>
      <c r="F146" s="68" t="s">
        <v>326</v>
      </c>
      <c r="G146" s="143">
        <f t="shared" si="1"/>
        <v>4312.9776009360003</v>
      </c>
      <c r="H146" s="158">
        <f>SUM( H147:H148)</f>
        <v>1.3840559999999997E-2</v>
      </c>
      <c r="I146" s="158">
        <f>SUM( I147:I148)</f>
        <v>3969.7545842160002</v>
      </c>
      <c r="J146" s="158">
        <f>SUM( J147:J148)</f>
        <v>244.96691807999994</v>
      </c>
      <c r="K146" s="158">
        <f>SUM( K147:K148)</f>
        <v>98.242258079999985</v>
      </c>
      <c r="L146" s="155"/>
      <c r="M146" s="52"/>
      <c r="P146" s="115">
        <v>900</v>
      </c>
    </row>
    <row r="147" spans="3:19" ht="12.75">
      <c r="C147" s="130"/>
      <c r="D147" s="107" t="s">
        <v>469</v>
      </c>
      <c r="E147" s="67" t="s">
        <v>167</v>
      </c>
      <c r="F147" s="68" t="s">
        <v>327</v>
      </c>
      <c r="G147" s="143">
        <f t="shared" si="1"/>
        <v>0</v>
      </c>
      <c r="H147" s="157"/>
      <c r="I147" s="157"/>
      <c r="J147" s="157"/>
      <c r="K147" s="157"/>
      <c r="L147" s="155"/>
      <c r="M147" s="52"/>
      <c r="P147" s="115"/>
    </row>
    <row r="148" spans="3:19" ht="12.75">
      <c r="C148" s="130"/>
      <c r="D148" s="107" t="s">
        <v>470</v>
      </c>
      <c r="E148" s="67" t="s">
        <v>507</v>
      </c>
      <c r="F148" s="68" t="s">
        <v>328</v>
      </c>
      <c r="G148" s="143">
        <f t="shared" si="1"/>
        <v>4312.9776009360003</v>
      </c>
      <c r="H148" s="158">
        <f>H149+H150</f>
        <v>1.3840559999999997E-2</v>
      </c>
      <c r="I148" s="158">
        <f>I149+I150</f>
        <v>3969.7545842160002</v>
      </c>
      <c r="J148" s="158">
        <f>J149+J150</f>
        <v>244.96691807999994</v>
      </c>
      <c r="K148" s="158">
        <f>K149+K150</f>
        <v>98.242258079999985</v>
      </c>
      <c r="L148" s="155"/>
      <c r="M148" s="52"/>
      <c r="P148" s="115"/>
    </row>
    <row r="149" spans="3:19" ht="12.75">
      <c r="C149" s="130"/>
      <c r="D149" s="107" t="s">
        <v>471</v>
      </c>
      <c r="E149" s="69" t="s">
        <v>168</v>
      </c>
      <c r="F149" s="68" t="s">
        <v>331</v>
      </c>
      <c r="G149" s="143">
        <f t="shared" si="1"/>
        <v>3505.7952582960002</v>
      </c>
      <c r="H149" s="157"/>
      <c r="I149" s="157">
        <f>I127*51778.46/1000*1.2</f>
        <v>3505.7952582960002</v>
      </c>
      <c r="J149" s="157"/>
      <c r="K149" s="157"/>
      <c r="L149" s="155"/>
      <c r="M149" s="52"/>
      <c r="P149" s="115" t="s">
        <v>329</v>
      </c>
    </row>
    <row r="150" spans="3:19" ht="12.75">
      <c r="C150" s="130"/>
      <c r="D150" s="107" t="s">
        <v>472</v>
      </c>
      <c r="E150" s="69" t="s">
        <v>169</v>
      </c>
      <c r="F150" s="68" t="s">
        <v>332</v>
      </c>
      <c r="G150" s="143">
        <f t="shared" si="1"/>
        <v>807.18234263999977</v>
      </c>
      <c r="H150" s="157">
        <f>H128*81.8/1000*1.2</f>
        <v>1.3840559999999997E-2</v>
      </c>
      <c r="I150" s="157">
        <f>I128*81.8/1000*1.2</f>
        <v>463.95932591999991</v>
      </c>
      <c r="J150" s="157">
        <f>J128*81.8/1000*1.2</f>
        <v>244.96691807999994</v>
      </c>
      <c r="K150" s="157">
        <f>K128*81.8/1000*1.2</f>
        <v>98.242258079999985</v>
      </c>
      <c r="L150" s="155"/>
      <c r="M150" s="52"/>
      <c r="P150" s="115" t="s">
        <v>330</v>
      </c>
    </row>
    <row r="151" spans="3:19">
      <c r="D151" s="135"/>
      <c r="E151" s="159"/>
      <c r="F151" s="159"/>
      <c r="G151" s="159"/>
      <c r="H151" s="159"/>
      <c r="I151" s="159"/>
      <c r="J151" s="159"/>
      <c r="K151" s="160"/>
      <c r="L151" s="160"/>
      <c r="M151" s="160"/>
      <c r="N151" s="160"/>
      <c r="O151" s="160"/>
      <c r="P151" s="160"/>
      <c r="Q151" s="160"/>
      <c r="R151" s="161"/>
      <c r="S151" s="161"/>
    </row>
    <row r="152" spans="3:19" ht="12.75">
      <c r="E152" s="52" t="s">
        <v>204</v>
      </c>
      <c r="F152" s="180" t="str">
        <f>IF([2]Титульный!G45="","",[2]Титульный!G45)</f>
        <v>ведущий экономист</v>
      </c>
      <c r="G152" s="180"/>
      <c r="H152" s="53"/>
      <c r="I152" s="180" t="str">
        <f>IF([2]Титульный!G44="","",[2]Титульный!G44)</f>
        <v>Кривнева Е.В.</v>
      </c>
      <c r="J152" s="180"/>
      <c r="K152" s="180"/>
      <c r="L152" s="53"/>
      <c r="M152" s="55"/>
      <c r="N152" s="55"/>
      <c r="O152" s="54"/>
      <c r="P152" s="160"/>
      <c r="Q152" s="160"/>
      <c r="R152" s="161"/>
      <c r="S152" s="161"/>
    </row>
    <row r="153" spans="3:19" ht="12.75">
      <c r="E153" s="56" t="s">
        <v>205</v>
      </c>
      <c r="F153" s="181" t="s">
        <v>176</v>
      </c>
      <c r="G153" s="181"/>
      <c r="H153" s="54"/>
      <c r="I153" s="181" t="s">
        <v>174</v>
      </c>
      <c r="J153" s="181"/>
      <c r="K153" s="181"/>
      <c r="L153" s="54"/>
      <c r="M153" s="181" t="s">
        <v>175</v>
      </c>
      <c r="N153" s="181"/>
      <c r="O153" s="52"/>
      <c r="P153" s="160"/>
      <c r="Q153" s="160"/>
      <c r="R153" s="161"/>
      <c r="S153" s="161"/>
    </row>
    <row r="154" spans="3:19" ht="12.75">
      <c r="E154" s="56" t="s">
        <v>206</v>
      </c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160"/>
      <c r="Q154" s="160"/>
      <c r="R154" s="161"/>
      <c r="S154" s="161"/>
    </row>
    <row r="155" spans="3:19" ht="12.75">
      <c r="E155" s="56" t="s">
        <v>207</v>
      </c>
      <c r="F155" s="180" t="str">
        <f>IF([2]Титульный!G46="","",[2]Титульный!G46)</f>
        <v>(861) 258-50-71</v>
      </c>
      <c r="G155" s="180"/>
      <c r="H155" s="180"/>
      <c r="I155" s="52"/>
      <c r="J155" s="56" t="s">
        <v>177</v>
      </c>
      <c r="K155" s="123"/>
      <c r="L155" s="52"/>
      <c r="M155" s="52"/>
      <c r="N155" s="52"/>
      <c r="O155" s="52"/>
      <c r="P155" s="160"/>
      <c r="Q155" s="160"/>
      <c r="R155" s="161"/>
      <c r="S155" s="161"/>
    </row>
    <row r="156" spans="3:19" ht="12.75">
      <c r="E156" s="52" t="s">
        <v>208</v>
      </c>
      <c r="F156" s="182" t="s">
        <v>178</v>
      </c>
      <c r="G156" s="182"/>
      <c r="H156" s="182"/>
      <c r="I156" s="52"/>
      <c r="J156" s="57" t="s">
        <v>179</v>
      </c>
      <c r="K156" s="57"/>
      <c r="L156" s="52"/>
      <c r="M156" s="52"/>
      <c r="N156" s="52"/>
      <c r="O156" s="52"/>
      <c r="P156" s="160"/>
      <c r="Q156" s="160"/>
      <c r="R156" s="161"/>
      <c r="S156" s="161"/>
    </row>
    <row r="157" spans="3:19"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1"/>
      <c r="S157" s="161"/>
    </row>
    <row r="158" spans="3:19"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1"/>
      <c r="S158" s="161"/>
    </row>
    <row r="159" spans="3:19"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1"/>
      <c r="S159" s="161"/>
    </row>
    <row r="160" spans="3:19"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1"/>
      <c r="S160" s="161"/>
    </row>
    <row r="161" spans="5:19"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1"/>
      <c r="S161" s="161"/>
    </row>
    <row r="162" spans="5:19"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1"/>
      <c r="S162" s="161"/>
    </row>
    <row r="163" spans="5:19"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1"/>
      <c r="S163" s="161"/>
    </row>
    <row r="164" spans="5:19"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1"/>
      <c r="S164" s="161"/>
    </row>
    <row r="165" spans="5:19">
      <c r="E165" s="160"/>
      <c r="F165" s="160"/>
      <c r="G165" s="160"/>
      <c r="H165" s="160"/>
      <c r="I165" s="160"/>
      <c r="J165" s="160"/>
      <c r="K165" s="160"/>
      <c r="L165" s="160"/>
      <c r="M165" s="160"/>
      <c r="N165" s="160"/>
      <c r="O165" s="160"/>
      <c r="P165" s="160"/>
      <c r="Q165" s="160"/>
      <c r="R165" s="161"/>
      <c r="S165" s="161"/>
    </row>
    <row r="166" spans="5:19">
      <c r="E166" s="160"/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1"/>
      <c r="S166" s="161"/>
    </row>
    <row r="167" spans="5:19"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1"/>
      <c r="S167" s="161"/>
    </row>
    <row r="168" spans="5:19"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1"/>
      <c r="S168" s="161"/>
    </row>
    <row r="169" spans="5:19"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1"/>
      <c r="S169" s="161"/>
    </row>
    <row r="170" spans="5:19"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1"/>
      <c r="S170" s="161"/>
    </row>
    <row r="171" spans="5:19"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1"/>
      <c r="S171" s="161"/>
    </row>
    <row r="172" spans="5:19"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1"/>
      <c r="S172" s="161"/>
    </row>
    <row r="173" spans="5:19"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1"/>
      <c r="S173" s="161"/>
    </row>
    <row r="174" spans="5:19"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1"/>
      <c r="S174" s="161"/>
    </row>
    <row r="175" spans="5:19"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1"/>
      <c r="S175" s="161"/>
    </row>
    <row r="176" spans="5:19"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1"/>
      <c r="S176" s="161"/>
    </row>
    <row r="177" spans="5:19"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1"/>
      <c r="S177" s="161"/>
    </row>
    <row r="178" spans="5:19"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1"/>
      <c r="S178" s="161"/>
    </row>
    <row r="179" spans="5:19"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1"/>
      <c r="S179" s="161"/>
    </row>
    <row r="180" spans="5:19"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1"/>
      <c r="S180" s="161"/>
    </row>
    <row r="181" spans="5:19"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1"/>
      <c r="S181" s="161"/>
    </row>
    <row r="182" spans="5:19"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</row>
    <row r="183" spans="5:19">
      <c r="E183" s="161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</row>
    <row r="184" spans="5:19"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</row>
    <row r="185" spans="5:19"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  <c r="P185" s="161"/>
      <c r="Q185" s="161"/>
      <c r="R185" s="161"/>
      <c r="S185" s="161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42 E25:E26 E81 E64:E65"/>
    <dataValidation type="decimal" allowBlank="1" showErrorMessage="1" errorTitle="Ошибка" error="Допускается ввод только действительных чисел!" sqref="G62:K65 G93:K95 G67:K81 G15:K18 G83:K91 G97:K128 G23:K26 G44:K52 G28:K42 G130:K150 G59:K60 G20:K21 G54:K57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C185"/>
  <sheetViews>
    <sheetView topLeftCell="C113" workbookViewId="0">
      <selection activeCell="E160" sqref="E160"/>
    </sheetView>
  </sheetViews>
  <sheetFormatPr defaultRowHeight="11.25"/>
  <cols>
    <col min="1" max="2" width="9.140625" style="125" hidden="1" customWidth="1"/>
    <col min="3" max="3" width="4.140625" style="125" customWidth="1"/>
    <col min="4" max="4" width="9.140625" style="125" customWidth="1"/>
    <col min="5" max="5" width="69" style="125" customWidth="1"/>
    <col min="6" max="6" width="6.7109375" style="125" customWidth="1"/>
    <col min="7" max="11" width="15.7109375" style="125" customWidth="1"/>
    <col min="12" max="12" width="6.7109375" style="125" customWidth="1"/>
    <col min="13" max="16" width="15.7109375" style="125" customWidth="1"/>
    <col min="17" max="35" width="11.7109375" style="125" customWidth="1"/>
    <col min="36" max="16384" width="9.140625" style="125"/>
  </cols>
  <sheetData>
    <row r="1" spans="1:81" hidden="1">
      <c r="S1" s="126"/>
      <c r="T1" s="126"/>
      <c r="U1" s="126"/>
      <c r="V1" s="126"/>
      <c r="Y1" s="126"/>
      <c r="AA1" s="126"/>
      <c r="AN1" s="126"/>
      <c r="AO1" s="126"/>
      <c r="AP1" s="126"/>
      <c r="BC1" s="126"/>
      <c r="BF1" s="126"/>
      <c r="BG1" s="126"/>
      <c r="BI1" s="126"/>
      <c r="BM1" s="126"/>
      <c r="BO1" s="126"/>
      <c r="BX1" s="126"/>
      <c r="BY1" s="126"/>
      <c r="CC1" s="126"/>
    </row>
    <row r="2" spans="1:81" hidden="1"/>
    <row r="3" spans="1:81" hidden="1"/>
    <row r="4" spans="1:81" hidden="1">
      <c r="A4" s="127"/>
      <c r="F4" s="128"/>
      <c r="G4" s="128"/>
      <c r="H4" s="128"/>
      <c r="I4" s="128"/>
      <c r="J4" s="128"/>
      <c r="K4" s="128"/>
      <c r="M4" s="128"/>
      <c r="N4" s="128"/>
      <c r="O4" s="128"/>
      <c r="P4" s="128"/>
      <c r="Q4" s="128"/>
    </row>
    <row r="5" spans="1:81" hidden="1">
      <c r="A5" s="129"/>
      <c r="F5" s="125" t="s">
        <v>142</v>
      </c>
      <c r="G5" s="125" t="s">
        <v>143</v>
      </c>
      <c r="H5" s="125" t="s">
        <v>144</v>
      </c>
      <c r="I5" s="125" t="s">
        <v>145</v>
      </c>
      <c r="J5" s="125" t="s">
        <v>146</v>
      </c>
      <c r="K5" s="125" t="s">
        <v>147</v>
      </c>
      <c r="L5" s="125" t="s">
        <v>148</v>
      </c>
      <c r="M5" s="125" t="s">
        <v>149</v>
      </c>
      <c r="N5" s="125" t="s">
        <v>149</v>
      </c>
      <c r="O5" s="125" t="s">
        <v>150</v>
      </c>
      <c r="P5" s="125" t="s">
        <v>151</v>
      </c>
      <c r="Q5" s="125" t="s">
        <v>152</v>
      </c>
    </row>
    <row r="6" spans="1:81" hidden="1">
      <c r="A6" s="129"/>
    </row>
    <row r="7" spans="1:81" ht="12" customHeight="1">
      <c r="A7" s="129"/>
      <c r="D7" s="130"/>
      <c r="E7" s="130"/>
      <c r="F7" s="130"/>
      <c r="G7" s="130"/>
      <c r="H7" s="130"/>
      <c r="I7" s="130"/>
      <c r="J7" s="130"/>
      <c r="K7" s="131"/>
      <c r="Q7" s="132"/>
    </row>
    <row r="8" spans="1:81" ht="22.5" customHeight="1">
      <c r="A8" s="129"/>
      <c r="D8" s="183" t="s">
        <v>153</v>
      </c>
      <c r="E8" s="18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</row>
    <row r="9" spans="1:81" hidden="1">
      <c r="A9" s="129"/>
      <c r="D9" s="134" t="e">
        <f>IF(org="","Не определено",org)</f>
        <v>#REF!</v>
      </c>
      <c r="E9" s="134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</row>
    <row r="10" spans="1:81" ht="12" customHeight="1">
      <c r="D10" s="135"/>
      <c r="E10" s="135"/>
      <c r="F10" s="130"/>
      <c r="G10" s="130"/>
      <c r="H10" s="130"/>
      <c r="I10" s="130"/>
      <c r="K10" s="136" t="s">
        <v>132</v>
      </c>
    </row>
    <row r="11" spans="1:81" ht="15" customHeight="1">
      <c r="C11" s="130"/>
      <c r="D11" s="172" t="s">
        <v>140</v>
      </c>
      <c r="E11" s="185" t="s">
        <v>154</v>
      </c>
      <c r="F11" s="185" t="s">
        <v>133</v>
      </c>
      <c r="G11" s="185" t="s">
        <v>155</v>
      </c>
      <c r="H11" s="185" t="s">
        <v>156</v>
      </c>
      <c r="I11" s="185"/>
      <c r="J11" s="185"/>
      <c r="K11" s="187"/>
      <c r="L11" s="137"/>
    </row>
    <row r="12" spans="1:81" ht="15" customHeight="1">
      <c r="C12" s="130"/>
      <c r="D12" s="184"/>
      <c r="E12" s="186"/>
      <c r="F12" s="186"/>
      <c r="G12" s="186"/>
      <c r="H12" s="138" t="s">
        <v>134</v>
      </c>
      <c r="I12" s="138" t="s">
        <v>135</v>
      </c>
      <c r="J12" s="138" t="s">
        <v>136</v>
      </c>
      <c r="K12" s="139" t="s">
        <v>137</v>
      </c>
      <c r="L12" s="137"/>
    </row>
    <row r="13" spans="1:81" ht="12" customHeight="1">
      <c r="D13" s="25">
        <v>0</v>
      </c>
      <c r="E13" s="25">
        <v>1</v>
      </c>
      <c r="F13" s="25">
        <v>2</v>
      </c>
      <c r="G13" s="25">
        <v>3</v>
      </c>
      <c r="H13" s="25">
        <v>4</v>
      </c>
      <c r="I13" s="25">
        <v>5</v>
      </c>
      <c r="J13" s="25">
        <v>6</v>
      </c>
      <c r="K13" s="25">
        <v>7</v>
      </c>
    </row>
    <row r="14" spans="1:81" s="140" customFormat="1" ht="15" customHeight="1">
      <c r="C14" s="141"/>
      <c r="D14" s="174" t="s">
        <v>200</v>
      </c>
      <c r="E14" s="175"/>
      <c r="F14" s="175"/>
      <c r="G14" s="175"/>
      <c r="H14" s="175"/>
      <c r="I14" s="175"/>
      <c r="J14" s="175"/>
      <c r="K14" s="176"/>
      <c r="L14" s="142"/>
    </row>
    <row r="15" spans="1:81" s="140" customFormat="1" ht="15" customHeight="1">
      <c r="C15" s="141"/>
      <c r="D15" s="106" t="s">
        <v>370</v>
      </c>
      <c r="E15" s="88" t="s">
        <v>498</v>
      </c>
      <c r="F15" s="68">
        <v>10</v>
      </c>
      <c r="G15" s="143">
        <f>SUM(H15:K15)</f>
        <v>6488.2550000000001</v>
      </c>
      <c r="H15" s="143">
        <f>H16+H17+H20+H23</f>
        <v>849.22799999999995</v>
      </c>
      <c r="I15" s="143">
        <f>I16+I17+I20+I23</f>
        <v>4313.7830000000004</v>
      </c>
      <c r="J15" s="143">
        <f>J16+J17+J20+J23</f>
        <v>1325.2439999999999</v>
      </c>
      <c r="K15" s="143">
        <f>K16+K17+K20+K23</f>
        <v>0</v>
      </c>
      <c r="L15" s="142"/>
      <c r="M15" s="52"/>
      <c r="P15" s="115">
        <v>10</v>
      </c>
    </row>
    <row r="16" spans="1:81" s="140" customFormat="1" ht="15" customHeight="1">
      <c r="C16" s="141"/>
      <c r="D16" s="106" t="s">
        <v>371</v>
      </c>
      <c r="E16" s="67" t="s">
        <v>210</v>
      </c>
      <c r="F16" s="68">
        <v>20</v>
      </c>
      <c r="G16" s="143">
        <f t="shared" ref="G16:G136" si="0">SUM(H16:K16)</f>
        <v>0</v>
      </c>
      <c r="H16" s="122"/>
      <c r="I16" s="122"/>
      <c r="J16" s="122"/>
      <c r="K16" s="122"/>
      <c r="L16" s="142"/>
      <c r="M16" s="52"/>
      <c r="P16" s="115">
        <v>20</v>
      </c>
    </row>
    <row r="17" spans="3:16" s="140" customFormat="1" ht="12.75">
      <c r="C17" s="141"/>
      <c r="D17" s="106" t="s">
        <v>372</v>
      </c>
      <c r="E17" s="67" t="s">
        <v>499</v>
      </c>
      <c r="F17" s="68">
        <v>30</v>
      </c>
      <c r="G17" s="143">
        <f t="shared" si="0"/>
        <v>0</v>
      </c>
      <c r="H17" s="143">
        <f>SUM(H18:H19)</f>
        <v>0</v>
      </c>
      <c r="I17" s="143">
        <f>SUM(I18:I19)</f>
        <v>0</v>
      </c>
      <c r="J17" s="143">
        <f>SUM(J18:J19)</f>
        <v>0</v>
      </c>
      <c r="K17" s="143">
        <f>SUM(K18:K19)</f>
        <v>0</v>
      </c>
      <c r="L17" s="142"/>
      <c r="M17" s="52"/>
      <c r="P17" s="115">
        <v>30</v>
      </c>
    </row>
    <row r="18" spans="3:16" s="140" customFormat="1" ht="12.75">
      <c r="C18" s="141"/>
      <c r="D18" s="113" t="s">
        <v>480</v>
      </c>
      <c r="E18" s="144"/>
      <c r="F18" s="84" t="s">
        <v>336</v>
      </c>
      <c r="G18" s="145"/>
      <c r="H18" s="145"/>
      <c r="I18" s="145"/>
      <c r="J18" s="145"/>
      <c r="K18" s="145"/>
      <c r="L18" s="142"/>
      <c r="M18" s="52"/>
      <c r="P18" s="115"/>
    </row>
    <row r="19" spans="3:16" s="140" customFormat="1" ht="12.75">
      <c r="C19" s="141"/>
      <c r="D19" s="108"/>
      <c r="E19" s="104" t="s">
        <v>334</v>
      </c>
      <c r="F19" s="73"/>
      <c r="G19" s="73"/>
      <c r="H19" s="73"/>
      <c r="I19" s="73"/>
      <c r="J19" s="73"/>
      <c r="K19" s="74"/>
      <c r="L19" s="142"/>
      <c r="M19" s="52"/>
      <c r="P19" s="116"/>
    </row>
    <row r="20" spans="3:16" s="140" customFormat="1" ht="12.75">
      <c r="C20" s="141"/>
      <c r="D20" s="106" t="s">
        <v>373</v>
      </c>
      <c r="E20" s="67" t="s">
        <v>500</v>
      </c>
      <c r="F20" s="68" t="s">
        <v>211</v>
      </c>
      <c r="G20" s="143">
        <f t="shared" si="0"/>
        <v>0</v>
      </c>
      <c r="H20" s="143">
        <f>SUM(H21:H22)</f>
        <v>0</v>
      </c>
      <c r="I20" s="143">
        <f>SUM(I21:I22)</f>
        <v>0</v>
      </c>
      <c r="J20" s="143">
        <f>SUM(J21:J22)</f>
        <v>0</v>
      </c>
      <c r="K20" s="143">
        <f>SUM(K21:K22)</f>
        <v>0</v>
      </c>
      <c r="L20" s="142"/>
      <c r="M20" s="52"/>
      <c r="P20" s="116"/>
    </row>
    <row r="21" spans="3:16" s="140" customFormat="1" ht="12.75">
      <c r="C21" s="141"/>
      <c r="D21" s="113" t="s">
        <v>481</v>
      </c>
      <c r="E21" s="144"/>
      <c r="F21" s="84" t="s">
        <v>211</v>
      </c>
      <c r="G21" s="145"/>
      <c r="H21" s="145"/>
      <c r="I21" s="145"/>
      <c r="J21" s="145"/>
      <c r="K21" s="145"/>
      <c r="L21" s="142"/>
      <c r="M21" s="52"/>
      <c r="P21" s="115"/>
    </row>
    <row r="22" spans="3:16" s="140" customFormat="1" ht="12.75">
      <c r="C22" s="141"/>
      <c r="D22" s="108"/>
      <c r="E22" s="104" t="s">
        <v>334</v>
      </c>
      <c r="F22" s="73"/>
      <c r="G22" s="73"/>
      <c r="H22" s="73"/>
      <c r="I22" s="73"/>
      <c r="J22" s="73"/>
      <c r="K22" s="74"/>
      <c r="L22" s="142"/>
      <c r="M22" s="52"/>
      <c r="P22" s="116"/>
    </row>
    <row r="23" spans="3:16" s="140" customFormat="1" ht="12.75">
      <c r="C23" s="141"/>
      <c r="D23" s="106" t="s">
        <v>374</v>
      </c>
      <c r="E23" s="67" t="s">
        <v>501</v>
      </c>
      <c r="F23" s="68" t="s">
        <v>212</v>
      </c>
      <c r="G23" s="143">
        <f t="shared" si="0"/>
        <v>6488.2550000000001</v>
      </c>
      <c r="H23" s="143">
        <f>SUM(H24:H27)</f>
        <v>849.22799999999995</v>
      </c>
      <c r="I23" s="143">
        <f>SUM(I24:I27)</f>
        <v>4313.7830000000004</v>
      </c>
      <c r="J23" s="143">
        <f>SUM(J24:J27)</f>
        <v>1325.2439999999999</v>
      </c>
      <c r="K23" s="143">
        <f>SUM(K24:K27)</f>
        <v>0</v>
      </c>
      <c r="L23" s="142"/>
      <c r="M23" s="52"/>
      <c r="P23" s="115">
        <v>40</v>
      </c>
    </row>
    <row r="24" spans="3:16" s="140" customFormat="1" ht="12.75">
      <c r="C24" s="141"/>
      <c r="D24" s="113" t="s">
        <v>482</v>
      </c>
      <c r="E24" s="144"/>
      <c r="F24" s="84" t="s">
        <v>212</v>
      </c>
      <c r="G24" s="145"/>
      <c r="H24" s="145"/>
      <c r="I24" s="145"/>
      <c r="J24" s="145"/>
      <c r="K24" s="145"/>
      <c r="L24" s="142"/>
      <c r="M24" s="52"/>
      <c r="P24" s="115"/>
    </row>
    <row r="25" spans="3:16" s="140" customFormat="1" ht="14.25">
      <c r="C25" s="121" t="s">
        <v>0</v>
      </c>
      <c r="D25" s="146" t="s">
        <v>1874</v>
      </c>
      <c r="E25" s="82" t="s">
        <v>2047</v>
      </c>
      <c r="F25" s="79">
        <v>431</v>
      </c>
      <c r="G25" s="147">
        <f>SUM(H25:K25)</f>
        <v>5553.0790000000006</v>
      </c>
      <c r="H25" s="148">
        <v>849.22799999999995</v>
      </c>
      <c r="I25" s="148">
        <v>4313.7830000000004</v>
      </c>
      <c r="J25" s="148">
        <v>390.06799999999998</v>
      </c>
      <c r="K25" s="149"/>
      <c r="L25" s="142"/>
      <c r="M25" s="85" t="s">
        <v>1842</v>
      </c>
      <c r="N25" s="86" t="s">
        <v>1438</v>
      </c>
      <c r="O25" s="86" t="s">
        <v>1841</v>
      </c>
    </row>
    <row r="26" spans="3:16" s="140" customFormat="1" ht="14.25">
      <c r="C26" s="121" t="s">
        <v>0</v>
      </c>
      <c r="D26" s="146" t="s">
        <v>2072</v>
      </c>
      <c r="E26" s="82" t="s">
        <v>1467</v>
      </c>
      <c r="F26" s="79">
        <v>432</v>
      </c>
      <c r="G26" s="147">
        <f>SUM(H26:K26)</f>
        <v>935.17599999999993</v>
      </c>
      <c r="H26" s="148"/>
      <c r="I26" s="148"/>
      <c r="J26" s="148">
        <f>306.391+628.785</f>
        <v>935.17599999999993</v>
      </c>
      <c r="K26" s="149"/>
      <c r="L26" s="142"/>
      <c r="M26" s="85" t="s">
        <v>1468</v>
      </c>
      <c r="N26" s="86" t="s">
        <v>1438</v>
      </c>
      <c r="O26" s="86" t="s">
        <v>1466</v>
      </c>
    </row>
    <row r="27" spans="3:16" s="140" customFormat="1" ht="12.75">
      <c r="C27" s="141"/>
      <c r="D27" s="108"/>
      <c r="E27" s="104" t="s">
        <v>334</v>
      </c>
      <c r="F27" s="73"/>
      <c r="G27" s="73"/>
      <c r="H27" s="73"/>
      <c r="I27" s="73"/>
      <c r="J27" s="73"/>
      <c r="K27" s="74"/>
      <c r="L27" s="142"/>
      <c r="M27" s="52"/>
      <c r="P27" s="115"/>
    </row>
    <row r="28" spans="3:16" s="140" customFormat="1" ht="12.75">
      <c r="C28" s="141"/>
      <c r="D28" s="106" t="s">
        <v>375</v>
      </c>
      <c r="E28" s="88" t="s">
        <v>157</v>
      </c>
      <c r="F28" s="68" t="s">
        <v>213</v>
      </c>
      <c r="G28" s="143">
        <f t="shared" si="0"/>
        <v>2727.1660000000011</v>
      </c>
      <c r="H28" s="143">
        <f>H30+H31+H32</f>
        <v>0</v>
      </c>
      <c r="I28" s="143">
        <f>I29+I31+I32</f>
        <v>0</v>
      </c>
      <c r="J28" s="143">
        <f>J29+J30+J32</f>
        <v>1729.2050000000004</v>
      </c>
      <c r="K28" s="143">
        <f>K29+K30+K31</f>
        <v>997.96100000000047</v>
      </c>
      <c r="L28" s="142"/>
      <c r="M28" s="52"/>
      <c r="P28" s="115">
        <v>50</v>
      </c>
    </row>
    <row r="29" spans="3:16" s="140" customFormat="1" ht="12.75">
      <c r="C29" s="141"/>
      <c r="D29" s="106" t="s">
        <v>376</v>
      </c>
      <c r="E29" s="67" t="s">
        <v>134</v>
      </c>
      <c r="F29" s="68" t="s">
        <v>214</v>
      </c>
      <c r="G29" s="143">
        <f t="shared" si="0"/>
        <v>849.17899999999997</v>
      </c>
      <c r="H29" s="150"/>
      <c r="I29" s="122"/>
      <c r="J29" s="122">
        <f>H45</f>
        <v>849.17899999999997</v>
      </c>
      <c r="K29" s="122"/>
      <c r="L29" s="142"/>
      <c r="M29" s="52"/>
      <c r="P29" s="115">
        <v>60</v>
      </c>
    </row>
    <row r="30" spans="3:16" s="140" customFormat="1" ht="12.75">
      <c r="C30" s="141"/>
      <c r="D30" s="106" t="s">
        <v>377</v>
      </c>
      <c r="E30" s="67" t="s">
        <v>135</v>
      </c>
      <c r="F30" s="68" t="s">
        <v>215</v>
      </c>
      <c r="G30" s="143">
        <f t="shared" si="0"/>
        <v>880.02600000000041</v>
      </c>
      <c r="H30" s="122"/>
      <c r="I30" s="150"/>
      <c r="J30" s="122">
        <f>I25-I34-I48</f>
        <v>880.02600000000041</v>
      </c>
      <c r="K30" s="122"/>
      <c r="L30" s="142"/>
      <c r="M30" s="52"/>
      <c r="P30" s="115">
        <v>70</v>
      </c>
    </row>
    <row r="31" spans="3:16" s="140" customFormat="1" ht="12.75">
      <c r="C31" s="141"/>
      <c r="D31" s="106" t="s">
        <v>378</v>
      </c>
      <c r="E31" s="67" t="s">
        <v>136</v>
      </c>
      <c r="F31" s="68" t="s">
        <v>216</v>
      </c>
      <c r="G31" s="143">
        <f t="shared" si="0"/>
        <v>997.96100000000047</v>
      </c>
      <c r="H31" s="122"/>
      <c r="I31" s="122"/>
      <c r="J31" s="150"/>
      <c r="K31" s="122">
        <f>J23+J28+J17-J48-J34</f>
        <v>997.96100000000047</v>
      </c>
      <c r="L31" s="142"/>
      <c r="M31" s="52"/>
      <c r="P31" s="115">
        <v>80</v>
      </c>
    </row>
    <row r="32" spans="3:16" s="140" customFormat="1" ht="12.75">
      <c r="C32" s="141"/>
      <c r="D32" s="106" t="s">
        <v>379</v>
      </c>
      <c r="E32" s="67" t="s">
        <v>158</v>
      </c>
      <c r="F32" s="68" t="s">
        <v>217</v>
      </c>
      <c r="G32" s="143">
        <f t="shared" si="0"/>
        <v>0</v>
      </c>
      <c r="H32" s="122"/>
      <c r="I32" s="122"/>
      <c r="J32" s="122"/>
      <c r="K32" s="150"/>
      <c r="L32" s="142"/>
      <c r="M32" s="52"/>
      <c r="P32" s="115">
        <v>90</v>
      </c>
    </row>
    <row r="33" spans="3:16" s="140" customFormat="1" ht="12.75">
      <c r="C33" s="141"/>
      <c r="D33" s="106" t="s">
        <v>380</v>
      </c>
      <c r="E33" s="89" t="s">
        <v>161</v>
      </c>
      <c r="F33" s="68" t="s">
        <v>218</v>
      </c>
      <c r="G33" s="143">
        <f t="shared" si="0"/>
        <v>0</v>
      </c>
      <c r="H33" s="122"/>
      <c r="I33" s="122"/>
      <c r="J33" s="122"/>
      <c r="K33" s="122"/>
      <c r="L33" s="142"/>
      <c r="M33" s="52"/>
      <c r="P33" s="115"/>
    </row>
    <row r="34" spans="3:16" s="140" customFormat="1" ht="12.75">
      <c r="C34" s="141"/>
      <c r="D34" s="106" t="s">
        <v>381</v>
      </c>
      <c r="E34" s="88" t="s">
        <v>502</v>
      </c>
      <c r="F34" s="109" t="s">
        <v>219</v>
      </c>
      <c r="G34" s="143">
        <f t="shared" si="0"/>
        <v>6414.3270000000002</v>
      </c>
      <c r="H34" s="143">
        <f>H35+H37+H40+H44</f>
        <v>0</v>
      </c>
      <c r="I34" s="143">
        <f>I35+I37+I40+I44</f>
        <v>3422.6579999999999</v>
      </c>
      <c r="J34" s="143">
        <f>J35+J37+J40+J44</f>
        <v>2030.588</v>
      </c>
      <c r="K34" s="143">
        <f>K35+K37+K40+K44</f>
        <v>961.08100000000002</v>
      </c>
      <c r="L34" s="142"/>
      <c r="M34" s="52"/>
      <c r="P34" s="115">
        <v>100</v>
      </c>
    </row>
    <row r="35" spans="3:16" s="140" customFormat="1" ht="22.5">
      <c r="C35" s="141"/>
      <c r="D35" s="106" t="s">
        <v>382</v>
      </c>
      <c r="E35" s="67" t="s">
        <v>503</v>
      </c>
      <c r="F35" s="68" t="s">
        <v>220</v>
      </c>
      <c r="G35" s="143">
        <f t="shared" si="0"/>
        <v>0</v>
      </c>
      <c r="H35" s="122"/>
      <c r="I35" s="122"/>
      <c r="J35" s="122"/>
      <c r="K35" s="122"/>
      <c r="L35" s="142"/>
      <c r="M35" s="52"/>
      <c r="P35" s="115"/>
    </row>
    <row r="36" spans="3:16" s="140" customFormat="1" ht="12.75">
      <c r="C36" s="141"/>
      <c r="D36" s="106" t="s">
        <v>486</v>
      </c>
      <c r="E36" s="69" t="s">
        <v>476</v>
      </c>
      <c r="F36" s="68" t="s">
        <v>223</v>
      </c>
      <c r="G36" s="143">
        <f t="shared" si="0"/>
        <v>0</v>
      </c>
      <c r="H36" s="122"/>
      <c r="I36" s="122"/>
      <c r="J36" s="122"/>
      <c r="K36" s="122"/>
      <c r="L36" s="142"/>
      <c r="M36" s="52"/>
      <c r="P36" s="115"/>
    </row>
    <row r="37" spans="3:16" s="140" customFormat="1" ht="12.75">
      <c r="C37" s="141"/>
      <c r="D37" s="106" t="s">
        <v>383</v>
      </c>
      <c r="E37" s="67" t="s">
        <v>221</v>
      </c>
      <c r="F37" s="68" t="s">
        <v>224</v>
      </c>
      <c r="G37" s="143">
        <f t="shared" si="0"/>
        <v>3675.357</v>
      </c>
      <c r="H37" s="122">
        <v>0</v>
      </c>
      <c r="I37" s="122">
        <f>3422.658-I42</f>
        <v>683.6880000000001</v>
      </c>
      <c r="J37" s="122">
        <v>2030.588</v>
      </c>
      <c r="K37" s="122">
        <v>961.08100000000002</v>
      </c>
      <c r="L37" s="142"/>
      <c r="M37" s="52"/>
      <c r="P37" s="115"/>
    </row>
    <row r="38" spans="3:16" s="140" customFormat="1" ht="12.75">
      <c r="C38" s="141"/>
      <c r="D38" s="106" t="s">
        <v>487</v>
      </c>
      <c r="E38" s="69" t="s">
        <v>504</v>
      </c>
      <c r="F38" s="68" t="s">
        <v>225</v>
      </c>
      <c r="G38" s="143">
        <f t="shared" si="0"/>
        <v>0</v>
      </c>
      <c r="H38" s="122"/>
      <c r="I38" s="122"/>
      <c r="J38" s="122"/>
      <c r="K38" s="122"/>
      <c r="L38" s="142"/>
      <c r="M38" s="52"/>
      <c r="P38" s="115"/>
    </row>
    <row r="39" spans="3:16" s="140" customFormat="1" ht="12.75">
      <c r="C39" s="141"/>
      <c r="D39" s="106" t="s">
        <v>488</v>
      </c>
      <c r="E39" s="71" t="s">
        <v>476</v>
      </c>
      <c r="F39" s="68" t="s">
        <v>226</v>
      </c>
      <c r="G39" s="143">
        <f t="shared" si="0"/>
        <v>0</v>
      </c>
      <c r="H39" s="122"/>
      <c r="I39" s="122"/>
      <c r="J39" s="122"/>
      <c r="K39" s="122"/>
      <c r="L39" s="142"/>
      <c r="M39" s="52"/>
      <c r="P39" s="115"/>
    </row>
    <row r="40" spans="3:16" s="140" customFormat="1" ht="12.75">
      <c r="C40" s="141"/>
      <c r="D40" s="106" t="s">
        <v>384</v>
      </c>
      <c r="E40" s="67" t="s">
        <v>505</v>
      </c>
      <c r="F40" s="68" t="s">
        <v>227</v>
      </c>
      <c r="G40" s="143">
        <f t="shared" si="0"/>
        <v>2738.97</v>
      </c>
      <c r="H40" s="143">
        <f>SUM(H41:H43)</f>
        <v>0</v>
      </c>
      <c r="I40" s="143">
        <f>SUM(I41:I43)</f>
        <v>2738.97</v>
      </c>
      <c r="J40" s="143">
        <f>SUM(J41:J43)</f>
        <v>0</v>
      </c>
      <c r="K40" s="143">
        <f>SUM(K41:K43)</f>
        <v>0</v>
      </c>
      <c r="L40" s="142"/>
      <c r="M40" s="52"/>
      <c r="P40" s="115"/>
    </row>
    <row r="41" spans="3:16" s="140" customFormat="1" ht="12.75">
      <c r="C41" s="141"/>
      <c r="D41" s="113" t="s">
        <v>496</v>
      </c>
      <c r="E41" s="144"/>
      <c r="F41" s="84" t="s">
        <v>227</v>
      </c>
      <c r="G41" s="145"/>
      <c r="H41" s="145"/>
      <c r="I41" s="145"/>
      <c r="J41" s="145"/>
      <c r="K41" s="145"/>
      <c r="L41" s="142"/>
      <c r="M41" s="52"/>
      <c r="P41" s="115"/>
    </row>
    <row r="42" spans="3:16" s="140" customFormat="1" ht="14.25">
      <c r="C42" s="121" t="s">
        <v>0</v>
      </c>
      <c r="D42" s="146" t="s">
        <v>1875</v>
      </c>
      <c r="E42" s="82" t="s">
        <v>1467</v>
      </c>
      <c r="F42" s="79">
        <v>751</v>
      </c>
      <c r="G42" s="147">
        <f>SUM(H42:K42)</f>
        <v>2738.97</v>
      </c>
      <c r="H42" s="148"/>
      <c r="I42" s="148">
        <v>2738.97</v>
      </c>
      <c r="J42" s="148"/>
      <c r="K42" s="149"/>
      <c r="L42" s="142"/>
      <c r="M42" s="85" t="s">
        <v>1468</v>
      </c>
      <c r="N42" s="86" t="s">
        <v>1451</v>
      </c>
      <c r="O42" s="86" t="s">
        <v>1466</v>
      </c>
    </row>
    <row r="43" spans="3:16" s="140" customFormat="1" ht="12.75">
      <c r="C43" s="141"/>
      <c r="D43" s="76"/>
      <c r="E43" s="104" t="s">
        <v>334</v>
      </c>
      <c r="F43" s="73"/>
      <c r="G43" s="73"/>
      <c r="H43" s="73"/>
      <c r="I43" s="73"/>
      <c r="J43" s="73"/>
      <c r="K43" s="74"/>
      <c r="L43" s="142"/>
      <c r="M43" s="52"/>
      <c r="P43" s="115"/>
    </row>
    <row r="44" spans="3:16" s="140" customFormat="1" ht="12.75">
      <c r="C44" s="141"/>
      <c r="D44" s="106" t="s">
        <v>385</v>
      </c>
      <c r="E44" s="105" t="s">
        <v>477</v>
      </c>
      <c r="F44" s="68" t="s">
        <v>228</v>
      </c>
      <c r="G44" s="143">
        <f t="shared" si="0"/>
        <v>0</v>
      </c>
      <c r="H44" s="122"/>
      <c r="I44" s="122"/>
      <c r="J44" s="122"/>
      <c r="K44" s="122"/>
      <c r="L44" s="142"/>
      <c r="M44" s="52"/>
      <c r="P44" s="115">
        <v>120</v>
      </c>
    </row>
    <row r="45" spans="3:16" s="140" customFormat="1" ht="12.75">
      <c r="C45" s="141"/>
      <c r="D45" s="106" t="s">
        <v>386</v>
      </c>
      <c r="E45" s="88" t="s">
        <v>159</v>
      </c>
      <c r="F45" s="68" t="s">
        <v>229</v>
      </c>
      <c r="G45" s="143">
        <f t="shared" si="0"/>
        <v>2727.1660000000015</v>
      </c>
      <c r="H45" s="122">
        <f>H25-H48-H34</f>
        <v>849.17899999999997</v>
      </c>
      <c r="I45" s="122">
        <f>I15-I34-I48</f>
        <v>880.02600000000041</v>
      </c>
      <c r="J45" s="122">
        <f>J23+J28+J17-J34-J48</f>
        <v>997.96100000000058</v>
      </c>
      <c r="K45" s="122">
        <f>K31-K34-K48</f>
        <v>4.4764192352886312E-13</v>
      </c>
      <c r="L45" s="142"/>
      <c r="M45" s="52"/>
      <c r="P45" s="115">
        <v>150</v>
      </c>
    </row>
    <row r="46" spans="3:16" s="140" customFormat="1" ht="12.75">
      <c r="C46" s="141"/>
      <c r="D46" s="106" t="s">
        <v>387</v>
      </c>
      <c r="E46" s="88" t="s">
        <v>160</v>
      </c>
      <c r="F46" s="68" t="s">
        <v>230</v>
      </c>
      <c r="G46" s="143">
        <f t="shared" si="0"/>
        <v>0</v>
      </c>
      <c r="H46" s="122"/>
      <c r="I46" s="122"/>
      <c r="J46" s="122"/>
      <c r="K46" s="122"/>
      <c r="L46" s="142"/>
      <c r="M46" s="52"/>
      <c r="P46" s="115">
        <v>160</v>
      </c>
    </row>
    <row r="47" spans="3:16" s="140" customFormat="1" ht="12.75">
      <c r="C47" s="141"/>
      <c r="D47" s="106" t="s">
        <v>388</v>
      </c>
      <c r="E47" s="88" t="s">
        <v>162</v>
      </c>
      <c r="F47" s="68" t="s">
        <v>231</v>
      </c>
      <c r="G47" s="143">
        <f t="shared" si="0"/>
        <v>0</v>
      </c>
      <c r="H47" s="122"/>
      <c r="I47" s="122"/>
      <c r="J47" s="122"/>
      <c r="K47" s="122"/>
      <c r="L47" s="142"/>
      <c r="M47" s="52"/>
      <c r="P47" s="115">
        <v>180</v>
      </c>
    </row>
    <row r="48" spans="3:16" s="140" customFormat="1" ht="12.75">
      <c r="C48" s="141"/>
      <c r="D48" s="106" t="s">
        <v>389</v>
      </c>
      <c r="E48" s="88" t="s">
        <v>473</v>
      </c>
      <c r="F48" s="68" t="s">
        <v>232</v>
      </c>
      <c r="G48" s="143">
        <f t="shared" si="0"/>
        <v>73.927999999999997</v>
      </c>
      <c r="H48" s="122">
        <v>4.9000000000000002E-2</v>
      </c>
      <c r="I48" s="122">
        <v>11.099</v>
      </c>
      <c r="J48" s="122">
        <f>20.862+5.038</f>
        <v>25.9</v>
      </c>
      <c r="K48" s="122">
        <v>36.880000000000003</v>
      </c>
      <c r="L48" s="142"/>
      <c r="M48" s="52"/>
      <c r="P48" s="115">
        <v>190</v>
      </c>
    </row>
    <row r="49" spans="3:16" s="140" customFormat="1" ht="12.75">
      <c r="C49" s="141"/>
      <c r="D49" s="106" t="s">
        <v>390</v>
      </c>
      <c r="E49" s="67" t="s">
        <v>474</v>
      </c>
      <c r="F49" s="68" t="s">
        <v>234</v>
      </c>
      <c r="G49" s="143">
        <f t="shared" si="0"/>
        <v>0</v>
      </c>
      <c r="H49" s="122"/>
      <c r="I49" s="122"/>
      <c r="J49" s="122"/>
      <c r="K49" s="122"/>
      <c r="L49" s="142"/>
      <c r="M49" s="52"/>
      <c r="P49" s="115">
        <v>200</v>
      </c>
    </row>
    <row r="50" spans="3:16" s="140" customFormat="1" ht="22.5">
      <c r="C50" s="141"/>
      <c r="D50" s="106" t="s">
        <v>475</v>
      </c>
      <c r="E50" s="88" t="s">
        <v>417</v>
      </c>
      <c r="F50" s="68" t="s">
        <v>235</v>
      </c>
      <c r="G50" s="143">
        <f t="shared" si="0"/>
        <v>122.002</v>
      </c>
      <c r="H50" s="122"/>
      <c r="I50" s="122">
        <f>122.002*0.25776</f>
        <v>31.447235519999996</v>
      </c>
      <c r="J50" s="122">
        <f>122.002*0.37244</f>
        <v>45.438424879999999</v>
      </c>
      <c r="K50" s="122">
        <f>122.002*0.3698</f>
        <v>45.116339600000003</v>
      </c>
      <c r="L50" s="142"/>
      <c r="M50" s="52"/>
      <c r="P50" s="116"/>
    </row>
    <row r="51" spans="3:16" s="140" customFormat="1" ht="33.75">
      <c r="C51" s="141"/>
      <c r="D51" s="106" t="s">
        <v>391</v>
      </c>
      <c r="E51" s="89" t="s">
        <v>236</v>
      </c>
      <c r="F51" s="68" t="s">
        <v>237</v>
      </c>
      <c r="G51" s="143">
        <f t="shared" si="0"/>
        <v>-48.073999999999998</v>
      </c>
      <c r="H51" s="143">
        <f>H48-H50</f>
        <v>4.9000000000000002E-2</v>
      </c>
      <c r="I51" s="143">
        <f>I48-I50</f>
        <v>-20.348235519999996</v>
      </c>
      <c r="J51" s="143">
        <f>J48-J50</f>
        <v>-19.538424880000001</v>
      </c>
      <c r="K51" s="143">
        <f>K48-K50</f>
        <v>-8.2363396000000009</v>
      </c>
      <c r="L51" s="142"/>
      <c r="M51" s="52"/>
      <c r="P51" s="116"/>
    </row>
    <row r="52" spans="3:16" s="140" customFormat="1" ht="12.75">
      <c r="C52" s="141"/>
      <c r="D52" s="106" t="s">
        <v>392</v>
      </c>
      <c r="E52" s="88" t="s">
        <v>163</v>
      </c>
      <c r="F52" s="68" t="s">
        <v>238</v>
      </c>
      <c r="G52" s="143">
        <f t="shared" si="0"/>
        <v>0</v>
      </c>
      <c r="H52" s="143">
        <f>(H15+H28+H33)-(H34+H45+H46+H47+H48)</f>
        <v>0</v>
      </c>
      <c r="I52" s="143">
        <f>(I15+I28+I33)-(I34+I45+I46+I47+I48)</f>
        <v>0</v>
      </c>
      <c r="J52" s="143">
        <f>(J15+J28+J33)-(J34+J45+J46+J47+J48)</f>
        <v>0</v>
      </c>
      <c r="K52" s="143">
        <f>(K15+K28+K33)-(K34+K45+K46+K47+K48)</f>
        <v>0</v>
      </c>
      <c r="L52" s="142"/>
      <c r="M52" s="52"/>
      <c r="P52" s="115">
        <v>210</v>
      </c>
    </row>
    <row r="53" spans="3:16" s="140" customFormat="1" ht="12.75">
      <c r="C53" s="141"/>
      <c r="D53" s="174" t="s">
        <v>201</v>
      </c>
      <c r="E53" s="175"/>
      <c r="F53" s="175"/>
      <c r="G53" s="175"/>
      <c r="H53" s="175"/>
      <c r="I53" s="175"/>
      <c r="J53" s="175"/>
      <c r="K53" s="176"/>
      <c r="L53" s="142"/>
      <c r="M53" s="52"/>
      <c r="P53" s="116"/>
    </row>
    <row r="54" spans="3:16" s="140" customFormat="1" ht="12.75">
      <c r="C54" s="141"/>
      <c r="D54" s="106" t="s">
        <v>393</v>
      </c>
      <c r="E54" s="88" t="s">
        <v>498</v>
      </c>
      <c r="F54" s="68" t="s">
        <v>239</v>
      </c>
      <c r="G54" s="143">
        <f t="shared" si="0"/>
        <v>9.0114652777777771</v>
      </c>
      <c r="H54" s="143">
        <f>H55+H56+H59+H62</f>
        <v>1.1794833333333332</v>
      </c>
      <c r="I54" s="143">
        <f>I55+I56+I59+I62</f>
        <v>5.9913652777777786</v>
      </c>
      <c r="J54" s="143">
        <f>J55+J56+J59+J62</f>
        <v>1.8406166666666666</v>
      </c>
      <c r="K54" s="143">
        <f>K55+K56+K59+K62</f>
        <v>0</v>
      </c>
      <c r="L54" s="142"/>
      <c r="M54" s="52"/>
      <c r="P54" s="115">
        <v>300</v>
      </c>
    </row>
    <row r="55" spans="3:16" s="140" customFormat="1" ht="12.75">
      <c r="C55" s="141"/>
      <c r="D55" s="106" t="s">
        <v>394</v>
      </c>
      <c r="E55" s="67" t="s">
        <v>210</v>
      </c>
      <c r="F55" s="68" t="s">
        <v>240</v>
      </c>
      <c r="G55" s="143">
        <f t="shared" si="0"/>
        <v>0</v>
      </c>
      <c r="H55" s="122"/>
      <c r="I55" s="122"/>
      <c r="J55" s="122"/>
      <c r="K55" s="122"/>
      <c r="L55" s="142"/>
      <c r="M55" s="52"/>
      <c r="P55" s="115">
        <v>310</v>
      </c>
    </row>
    <row r="56" spans="3:16" s="140" customFormat="1" ht="12.75">
      <c r="C56" s="141"/>
      <c r="D56" s="106" t="s">
        <v>395</v>
      </c>
      <c r="E56" s="67" t="s">
        <v>499</v>
      </c>
      <c r="F56" s="68" t="s">
        <v>241</v>
      </c>
      <c r="G56" s="143">
        <f t="shared" si="0"/>
        <v>0</v>
      </c>
      <c r="H56" s="143">
        <f>SUM(H57:H58)</f>
        <v>0</v>
      </c>
      <c r="I56" s="143">
        <f>SUM(I57:I58)</f>
        <v>0</v>
      </c>
      <c r="J56" s="143">
        <f>SUM(J57:J58)</f>
        <v>0</v>
      </c>
      <c r="K56" s="143">
        <f>SUM(K57:K58)</f>
        <v>0</v>
      </c>
      <c r="L56" s="142"/>
      <c r="M56" s="52"/>
      <c r="P56" s="115">
        <v>320</v>
      </c>
    </row>
    <row r="57" spans="3:16" s="140" customFormat="1" ht="12.75">
      <c r="C57" s="141"/>
      <c r="D57" s="113" t="s">
        <v>483</v>
      </c>
      <c r="E57" s="144"/>
      <c r="F57" s="84" t="s">
        <v>241</v>
      </c>
      <c r="G57" s="145"/>
      <c r="H57" s="145"/>
      <c r="I57" s="145"/>
      <c r="J57" s="145"/>
      <c r="K57" s="145"/>
      <c r="L57" s="142"/>
      <c r="M57" s="52"/>
      <c r="P57" s="115"/>
    </row>
    <row r="58" spans="3:16" s="140" customFormat="1" ht="12.75">
      <c r="C58" s="141"/>
      <c r="D58" s="108"/>
      <c r="E58" s="104" t="s">
        <v>334</v>
      </c>
      <c r="F58" s="73"/>
      <c r="G58" s="73"/>
      <c r="H58" s="73"/>
      <c r="I58" s="73"/>
      <c r="J58" s="73"/>
      <c r="K58" s="74"/>
      <c r="L58" s="142"/>
      <c r="M58" s="52"/>
      <c r="P58" s="115"/>
    </row>
    <row r="59" spans="3:16" s="140" customFormat="1" ht="12.75">
      <c r="C59" s="141"/>
      <c r="D59" s="106" t="s">
        <v>396</v>
      </c>
      <c r="E59" s="67" t="s">
        <v>500</v>
      </c>
      <c r="F59" s="68" t="s">
        <v>242</v>
      </c>
      <c r="G59" s="143">
        <f t="shared" si="0"/>
        <v>0</v>
      </c>
      <c r="H59" s="143">
        <f>SUM(H60:H61)</f>
        <v>0</v>
      </c>
      <c r="I59" s="143">
        <f>SUM(I60:I61)</f>
        <v>0</v>
      </c>
      <c r="J59" s="143">
        <f>SUM(J60:J61)</f>
        <v>0</v>
      </c>
      <c r="K59" s="143">
        <f>SUM(K60:K61)</f>
        <v>0</v>
      </c>
      <c r="L59" s="142"/>
      <c r="M59" s="52"/>
      <c r="P59" s="115"/>
    </row>
    <row r="60" spans="3:16" s="140" customFormat="1" ht="12.75">
      <c r="C60" s="141"/>
      <c r="D60" s="113" t="s">
        <v>484</v>
      </c>
      <c r="E60" s="144"/>
      <c r="F60" s="84" t="s">
        <v>242</v>
      </c>
      <c r="G60" s="145"/>
      <c r="H60" s="145"/>
      <c r="I60" s="145"/>
      <c r="J60" s="145"/>
      <c r="K60" s="145"/>
      <c r="L60" s="142"/>
      <c r="M60" s="52"/>
      <c r="P60" s="115"/>
    </row>
    <row r="61" spans="3:16" s="140" customFormat="1" ht="12.75">
      <c r="C61" s="141"/>
      <c r="D61" s="108"/>
      <c r="E61" s="104" t="s">
        <v>334</v>
      </c>
      <c r="F61" s="73"/>
      <c r="G61" s="73"/>
      <c r="H61" s="73"/>
      <c r="I61" s="73"/>
      <c r="J61" s="73"/>
      <c r="K61" s="74"/>
      <c r="L61" s="142"/>
      <c r="M61" s="52"/>
      <c r="P61" s="115"/>
    </row>
    <row r="62" spans="3:16" s="140" customFormat="1" ht="12.75">
      <c r="C62" s="141"/>
      <c r="D62" s="106" t="s">
        <v>397</v>
      </c>
      <c r="E62" s="67" t="s">
        <v>501</v>
      </c>
      <c r="F62" s="68" t="s">
        <v>243</v>
      </c>
      <c r="G62" s="143">
        <f t="shared" si="0"/>
        <v>9.0114652777777771</v>
      </c>
      <c r="H62" s="143">
        <f>SUM(H63:H66)</f>
        <v>1.1794833333333332</v>
      </c>
      <c r="I62" s="143">
        <f>SUM(I63:I66)</f>
        <v>5.9913652777777786</v>
      </c>
      <c r="J62" s="143">
        <f>SUM(J63:J66)</f>
        <v>1.8406166666666666</v>
      </c>
      <c r="K62" s="143">
        <f>SUM(K63:K66)</f>
        <v>0</v>
      </c>
      <c r="L62" s="142"/>
      <c r="M62" s="52"/>
      <c r="P62" s="115">
        <v>330</v>
      </c>
    </row>
    <row r="63" spans="3:16" s="140" customFormat="1" ht="12.75">
      <c r="C63" s="141"/>
      <c r="D63" s="113" t="s">
        <v>485</v>
      </c>
      <c r="E63" s="144"/>
      <c r="F63" s="84" t="s">
        <v>243</v>
      </c>
      <c r="G63" s="145"/>
      <c r="H63" s="145"/>
      <c r="I63" s="145"/>
      <c r="J63" s="145"/>
      <c r="K63" s="145"/>
      <c r="L63" s="142"/>
      <c r="M63" s="52"/>
      <c r="P63" s="115"/>
    </row>
    <row r="64" spans="3:16" s="140" customFormat="1" ht="14.25">
      <c r="C64" s="121" t="s">
        <v>0</v>
      </c>
      <c r="D64" s="146" t="s">
        <v>1876</v>
      </c>
      <c r="E64" s="82" t="s">
        <v>2047</v>
      </c>
      <c r="F64" s="79">
        <v>1461</v>
      </c>
      <c r="G64" s="147">
        <f>SUM(H64:K64)</f>
        <v>7.7126097222222221</v>
      </c>
      <c r="H64" s="148">
        <f>H25/720</f>
        <v>1.1794833333333332</v>
      </c>
      <c r="I64" s="148">
        <f>I25/720</f>
        <v>5.9913652777777786</v>
      </c>
      <c r="J64" s="148">
        <f>J25/720</f>
        <v>0.54176111111111114</v>
      </c>
      <c r="K64" s="148"/>
      <c r="L64" s="142"/>
      <c r="M64" s="85" t="s">
        <v>1842</v>
      </c>
      <c r="N64" s="86" t="s">
        <v>1438</v>
      </c>
      <c r="O64" s="86" t="s">
        <v>1841</v>
      </c>
    </row>
    <row r="65" spans="3:16" s="140" customFormat="1" ht="14.25">
      <c r="C65" s="121" t="s">
        <v>0</v>
      </c>
      <c r="D65" s="146" t="s">
        <v>2073</v>
      </c>
      <c r="E65" s="82" t="s">
        <v>1467</v>
      </c>
      <c r="F65" s="79">
        <v>1462</v>
      </c>
      <c r="G65" s="147">
        <f>SUM(H65:K65)</f>
        <v>1.2988555555555554</v>
      </c>
      <c r="H65" s="148"/>
      <c r="I65" s="148"/>
      <c r="J65" s="148">
        <f>J26/720</f>
        <v>1.2988555555555554</v>
      </c>
      <c r="K65" s="149"/>
      <c r="L65" s="142"/>
      <c r="M65" s="85" t="s">
        <v>1468</v>
      </c>
      <c r="N65" s="86" t="s">
        <v>1438</v>
      </c>
      <c r="O65" s="86" t="s">
        <v>1466</v>
      </c>
    </row>
    <row r="66" spans="3:16" s="140" customFormat="1" ht="12.75">
      <c r="C66" s="141"/>
      <c r="D66" s="108"/>
      <c r="E66" s="104" t="s">
        <v>334</v>
      </c>
      <c r="F66" s="73"/>
      <c r="G66" s="73"/>
      <c r="H66" s="73"/>
      <c r="I66" s="73"/>
      <c r="J66" s="73"/>
      <c r="K66" s="74"/>
      <c r="L66" s="142"/>
      <c r="M66" s="52"/>
      <c r="P66" s="115"/>
    </row>
    <row r="67" spans="3:16" s="140" customFormat="1" ht="12.75">
      <c r="C67" s="141"/>
      <c r="D67" s="106" t="s">
        <v>398</v>
      </c>
      <c r="E67" s="88" t="s">
        <v>157</v>
      </c>
      <c r="F67" s="68" t="s">
        <v>244</v>
      </c>
      <c r="G67" s="143">
        <f t="shared" si="0"/>
        <v>3.7877305555555569</v>
      </c>
      <c r="H67" s="143">
        <f>H69+H70+H71</f>
        <v>0</v>
      </c>
      <c r="I67" s="143">
        <f>I68+I70+I71</f>
        <v>0</v>
      </c>
      <c r="J67" s="143">
        <f>J68+J69+J71</f>
        <v>2.4016736111111117</v>
      </c>
      <c r="K67" s="143">
        <f>K68+K69+K70</f>
        <v>1.386056944444445</v>
      </c>
      <c r="L67" s="142"/>
      <c r="M67" s="52"/>
      <c r="P67" s="115">
        <v>340</v>
      </c>
    </row>
    <row r="68" spans="3:16" s="140" customFormat="1" ht="12.75">
      <c r="C68" s="141"/>
      <c r="D68" s="106" t="s">
        <v>399</v>
      </c>
      <c r="E68" s="67" t="s">
        <v>134</v>
      </c>
      <c r="F68" s="68" t="s">
        <v>245</v>
      </c>
      <c r="G68" s="143">
        <f t="shared" si="0"/>
        <v>1.1794152777777778</v>
      </c>
      <c r="H68" s="150"/>
      <c r="I68" s="122"/>
      <c r="J68" s="122">
        <f>J29/720</f>
        <v>1.1794152777777778</v>
      </c>
      <c r="K68" s="122"/>
      <c r="L68" s="142"/>
      <c r="M68" s="52"/>
      <c r="P68" s="115">
        <v>350</v>
      </c>
    </row>
    <row r="69" spans="3:16" s="140" customFormat="1" ht="12.75">
      <c r="C69" s="141"/>
      <c r="D69" s="106" t="s">
        <v>400</v>
      </c>
      <c r="E69" s="67" t="s">
        <v>135</v>
      </c>
      <c r="F69" s="68" t="s">
        <v>246</v>
      </c>
      <c r="G69" s="143">
        <f t="shared" si="0"/>
        <v>1.2222583333333339</v>
      </c>
      <c r="H69" s="122"/>
      <c r="I69" s="151"/>
      <c r="J69" s="122">
        <f>J30/720</f>
        <v>1.2222583333333339</v>
      </c>
      <c r="K69" s="122"/>
      <c r="L69" s="142"/>
      <c r="M69" s="52"/>
      <c r="P69" s="115">
        <v>360</v>
      </c>
    </row>
    <row r="70" spans="3:16" s="140" customFormat="1" ht="12.75">
      <c r="C70" s="141"/>
      <c r="D70" s="106" t="s">
        <v>401</v>
      </c>
      <c r="E70" s="67" t="s">
        <v>136</v>
      </c>
      <c r="F70" s="68" t="s">
        <v>247</v>
      </c>
      <c r="G70" s="143">
        <f t="shared" si="0"/>
        <v>1.386056944444445</v>
      </c>
      <c r="H70" s="122"/>
      <c r="I70" s="122"/>
      <c r="J70" s="150"/>
      <c r="K70" s="122">
        <f>K31/720</f>
        <v>1.386056944444445</v>
      </c>
      <c r="L70" s="142"/>
      <c r="M70" s="52"/>
      <c r="P70" s="115">
        <v>370</v>
      </c>
    </row>
    <row r="71" spans="3:16" s="140" customFormat="1" ht="12.75">
      <c r="C71" s="141"/>
      <c r="D71" s="106" t="s">
        <v>402</v>
      </c>
      <c r="E71" s="67" t="s">
        <v>158</v>
      </c>
      <c r="F71" s="68" t="s">
        <v>248</v>
      </c>
      <c r="G71" s="143">
        <f t="shared" si="0"/>
        <v>0</v>
      </c>
      <c r="H71" s="122"/>
      <c r="I71" s="122"/>
      <c r="J71" s="122"/>
      <c r="K71" s="150"/>
      <c r="L71" s="142"/>
      <c r="M71" s="52"/>
      <c r="P71" s="115">
        <v>380</v>
      </c>
    </row>
    <row r="72" spans="3:16" s="140" customFormat="1" ht="12.75">
      <c r="C72" s="141"/>
      <c r="D72" s="106" t="s">
        <v>403</v>
      </c>
      <c r="E72" s="89" t="s">
        <v>161</v>
      </c>
      <c r="F72" s="68" t="s">
        <v>249</v>
      </c>
      <c r="G72" s="143">
        <f t="shared" si="0"/>
        <v>0</v>
      </c>
      <c r="H72" s="122"/>
      <c r="I72" s="122"/>
      <c r="J72" s="122"/>
      <c r="K72" s="122"/>
      <c r="L72" s="142"/>
      <c r="M72" s="52"/>
      <c r="P72" s="115"/>
    </row>
    <row r="73" spans="3:16" s="140" customFormat="1" ht="12.75">
      <c r="C73" s="141"/>
      <c r="D73" s="106" t="s">
        <v>404</v>
      </c>
      <c r="E73" s="88" t="s">
        <v>502</v>
      </c>
      <c r="F73" s="109" t="s">
        <v>250</v>
      </c>
      <c r="G73" s="143">
        <f t="shared" si="0"/>
        <v>8.908787499999999</v>
      </c>
      <c r="H73" s="143">
        <f>H74+H76+H79+H83</f>
        <v>0</v>
      </c>
      <c r="I73" s="143">
        <f>I74+I76+I79+I83</f>
        <v>4.7536916666666666</v>
      </c>
      <c r="J73" s="143">
        <f>J74+J76+J79+J83</f>
        <v>2.8202611111111109</v>
      </c>
      <c r="K73" s="143">
        <f>K74+K76+K79+K83</f>
        <v>1.3348347222222223</v>
      </c>
      <c r="L73" s="142"/>
      <c r="M73" s="52"/>
      <c r="P73" s="115">
        <v>390</v>
      </c>
    </row>
    <row r="74" spans="3:16" s="140" customFormat="1" ht="22.5">
      <c r="C74" s="141"/>
      <c r="D74" s="106" t="s">
        <v>405</v>
      </c>
      <c r="E74" s="67" t="s">
        <v>503</v>
      </c>
      <c r="F74" s="68" t="s">
        <v>251</v>
      </c>
      <c r="G74" s="143">
        <f t="shared" si="0"/>
        <v>0</v>
      </c>
      <c r="H74" s="122"/>
      <c r="I74" s="122"/>
      <c r="J74" s="122"/>
      <c r="K74" s="122"/>
      <c r="L74" s="142"/>
      <c r="M74" s="52"/>
      <c r="P74" s="115"/>
    </row>
    <row r="75" spans="3:16" s="140" customFormat="1" ht="12.75">
      <c r="C75" s="141"/>
      <c r="D75" s="106" t="s">
        <v>489</v>
      </c>
      <c r="E75" s="69" t="s">
        <v>476</v>
      </c>
      <c r="F75" s="68" t="s">
        <v>252</v>
      </c>
      <c r="G75" s="143">
        <f t="shared" si="0"/>
        <v>0</v>
      </c>
      <c r="H75" s="122"/>
      <c r="I75" s="122"/>
      <c r="J75" s="122"/>
      <c r="K75" s="122"/>
      <c r="L75" s="142"/>
      <c r="M75" s="52"/>
      <c r="P75" s="115"/>
    </row>
    <row r="76" spans="3:16" s="140" customFormat="1" ht="12.75">
      <c r="C76" s="141"/>
      <c r="D76" s="106" t="s">
        <v>406</v>
      </c>
      <c r="E76" s="67" t="s">
        <v>221</v>
      </c>
      <c r="F76" s="68" t="s">
        <v>253</v>
      </c>
      <c r="G76" s="143">
        <f t="shared" si="0"/>
        <v>5.1046624999999999</v>
      </c>
      <c r="H76" s="122">
        <f>H37/720</f>
        <v>0</v>
      </c>
      <c r="I76" s="122">
        <f>I37/720</f>
        <v>0.94956666666666678</v>
      </c>
      <c r="J76" s="122">
        <f>J37/720</f>
        <v>2.8202611111111109</v>
      </c>
      <c r="K76" s="122">
        <f>K37/720</f>
        <v>1.3348347222222223</v>
      </c>
      <c r="L76" s="142"/>
      <c r="M76" s="52"/>
      <c r="P76" s="115"/>
    </row>
    <row r="77" spans="3:16" s="140" customFormat="1" ht="12.75">
      <c r="C77" s="141"/>
      <c r="D77" s="106" t="s">
        <v>490</v>
      </c>
      <c r="E77" s="69" t="s">
        <v>504</v>
      </c>
      <c r="F77" s="68" t="s">
        <v>254</v>
      </c>
      <c r="G77" s="143">
        <f t="shared" si="0"/>
        <v>0</v>
      </c>
      <c r="H77" s="122"/>
      <c r="I77" s="122"/>
      <c r="J77" s="122"/>
      <c r="K77" s="122"/>
      <c r="L77" s="142"/>
      <c r="M77" s="52"/>
      <c r="P77" s="115"/>
    </row>
    <row r="78" spans="3:16" s="140" customFormat="1" ht="12.75">
      <c r="C78" s="141"/>
      <c r="D78" s="106" t="s">
        <v>491</v>
      </c>
      <c r="E78" s="71" t="s">
        <v>476</v>
      </c>
      <c r="F78" s="68" t="s">
        <v>255</v>
      </c>
      <c r="G78" s="143">
        <f t="shared" si="0"/>
        <v>0</v>
      </c>
      <c r="H78" s="122"/>
      <c r="I78" s="122"/>
      <c r="J78" s="122"/>
      <c r="K78" s="122"/>
      <c r="L78" s="142"/>
      <c r="M78" s="52"/>
      <c r="P78" s="115"/>
    </row>
    <row r="79" spans="3:16" s="140" customFormat="1" ht="12.75">
      <c r="C79" s="141"/>
      <c r="D79" s="106" t="s">
        <v>407</v>
      </c>
      <c r="E79" s="67" t="s">
        <v>505</v>
      </c>
      <c r="F79" s="68" t="s">
        <v>256</v>
      </c>
      <c r="G79" s="143">
        <f t="shared" si="0"/>
        <v>3.8041249999999995</v>
      </c>
      <c r="H79" s="143">
        <f>SUM(H80:H82)</f>
        <v>0</v>
      </c>
      <c r="I79" s="143">
        <f>SUM(I80:I82)</f>
        <v>3.8041249999999995</v>
      </c>
      <c r="J79" s="143">
        <f>SUM(J80:J82)</f>
        <v>0</v>
      </c>
      <c r="K79" s="143">
        <f>SUM(K80:K82)</f>
        <v>0</v>
      </c>
      <c r="L79" s="142"/>
      <c r="M79" s="52"/>
      <c r="P79" s="115"/>
    </row>
    <row r="80" spans="3:16" s="140" customFormat="1" ht="12.75">
      <c r="C80" s="141"/>
      <c r="D80" s="113" t="s">
        <v>497</v>
      </c>
      <c r="E80" s="144"/>
      <c r="F80" s="84" t="s">
        <v>256</v>
      </c>
      <c r="G80" s="145"/>
      <c r="H80" s="145"/>
      <c r="I80" s="145"/>
      <c r="J80" s="145"/>
      <c r="K80" s="145"/>
      <c r="L80" s="142"/>
      <c r="M80" s="52"/>
      <c r="P80" s="115"/>
    </row>
    <row r="81" spans="3:16" s="140" customFormat="1" ht="14.25">
      <c r="C81" s="121" t="s">
        <v>0</v>
      </c>
      <c r="D81" s="146" t="s">
        <v>1877</v>
      </c>
      <c r="E81" s="82" t="s">
        <v>1467</v>
      </c>
      <c r="F81" s="79">
        <v>1781</v>
      </c>
      <c r="G81" s="147">
        <f>SUM(H81:K81)</f>
        <v>3.8041249999999995</v>
      </c>
      <c r="H81" s="148"/>
      <c r="I81" s="148">
        <f>I42/720</f>
        <v>3.8041249999999995</v>
      </c>
      <c r="J81" s="148"/>
      <c r="K81" s="149"/>
      <c r="L81" s="142"/>
      <c r="M81" s="85" t="s">
        <v>1468</v>
      </c>
      <c r="N81" s="86" t="s">
        <v>1451</v>
      </c>
      <c r="O81" s="86" t="s">
        <v>1466</v>
      </c>
    </row>
    <row r="82" spans="3:16" s="140" customFormat="1" ht="12.75">
      <c r="C82" s="141"/>
      <c r="D82" s="108"/>
      <c r="E82" s="104" t="s">
        <v>334</v>
      </c>
      <c r="F82" s="73"/>
      <c r="G82" s="73"/>
      <c r="H82" s="73"/>
      <c r="I82" s="73"/>
      <c r="J82" s="73"/>
      <c r="K82" s="74"/>
      <c r="L82" s="142"/>
      <c r="M82" s="52"/>
      <c r="P82" s="115"/>
    </row>
    <row r="83" spans="3:16" s="140" customFormat="1" ht="12.75">
      <c r="C83" s="141"/>
      <c r="D83" s="106" t="s">
        <v>408</v>
      </c>
      <c r="E83" s="105" t="s">
        <v>477</v>
      </c>
      <c r="F83" s="68" t="s">
        <v>257</v>
      </c>
      <c r="G83" s="143">
        <f t="shared" si="0"/>
        <v>0</v>
      </c>
      <c r="H83" s="122"/>
      <c r="I83" s="122"/>
      <c r="J83" s="122"/>
      <c r="K83" s="122"/>
      <c r="L83" s="142"/>
      <c r="M83" s="52"/>
      <c r="P83" s="115">
        <v>410</v>
      </c>
    </row>
    <row r="84" spans="3:16" s="140" customFormat="1" ht="12.75">
      <c r="C84" s="141"/>
      <c r="D84" s="106" t="s">
        <v>409</v>
      </c>
      <c r="E84" s="88" t="s">
        <v>159</v>
      </c>
      <c r="F84" s="68" t="s">
        <v>258</v>
      </c>
      <c r="G84" s="143">
        <f t="shared" si="0"/>
        <v>3.7877305555555574</v>
      </c>
      <c r="H84" s="122">
        <f>H45/720</f>
        <v>1.1794152777777778</v>
      </c>
      <c r="I84" s="122">
        <f>I45/720</f>
        <v>1.2222583333333339</v>
      </c>
      <c r="J84" s="122">
        <f>J45/720</f>
        <v>1.3860569444444453</v>
      </c>
      <c r="K84" s="122">
        <f>K45/720</f>
        <v>6.2172489379008762E-16</v>
      </c>
      <c r="L84" s="142"/>
      <c r="M84" s="52"/>
      <c r="P84" s="115">
        <v>440</v>
      </c>
    </row>
    <row r="85" spans="3:16" s="140" customFormat="1" ht="12.75">
      <c r="C85" s="141"/>
      <c r="D85" s="106" t="s">
        <v>410</v>
      </c>
      <c r="E85" s="88" t="s">
        <v>160</v>
      </c>
      <c r="F85" s="68" t="s">
        <v>259</v>
      </c>
      <c r="G85" s="143">
        <f t="shared" si="0"/>
        <v>0</v>
      </c>
      <c r="H85" s="122"/>
      <c r="I85" s="122"/>
      <c r="J85" s="122"/>
      <c r="K85" s="122"/>
      <c r="L85" s="142"/>
      <c r="M85" s="52"/>
      <c r="P85" s="115">
        <v>450</v>
      </c>
    </row>
    <row r="86" spans="3:16" s="140" customFormat="1" ht="12.75">
      <c r="C86" s="141"/>
      <c r="D86" s="106" t="s">
        <v>411</v>
      </c>
      <c r="E86" s="88" t="s">
        <v>162</v>
      </c>
      <c r="F86" s="68" t="s">
        <v>260</v>
      </c>
      <c r="G86" s="143">
        <f t="shared" si="0"/>
        <v>0</v>
      </c>
      <c r="H86" s="122"/>
      <c r="I86" s="122"/>
      <c r="J86" s="122"/>
      <c r="K86" s="122"/>
      <c r="L86" s="142"/>
      <c r="M86" s="52"/>
      <c r="P86" s="115">
        <v>470</v>
      </c>
    </row>
    <row r="87" spans="3:16" s="140" customFormat="1" ht="12.75">
      <c r="C87" s="141"/>
      <c r="D87" s="106" t="s">
        <v>412</v>
      </c>
      <c r="E87" s="88" t="s">
        <v>473</v>
      </c>
      <c r="F87" s="68" t="s">
        <v>261</v>
      </c>
      <c r="G87" s="143">
        <f t="shared" si="0"/>
        <v>0.10267777777777778</v>
      </c>
      <c r="H87" s="122">
        <f>H48/720</f>
        <v>6.8055555555555564E-5</v>
      </c>
      <c r="I87" s="122">
        <f>I48/720</f>
        <v>1.5415277777777778E-2</v>
      </c>
      <c r="J87" s="122">
        <f>J48/720</f>
        <v>3.5972222222222218E-2</v>
      </c>
      <c r="K87" s="122">
        <f>K48/720</f>
        <v>5.1222222222222225E-2</v>
      </c>
      <c r="L87" s="142"/>
      <c r="M87" s="52"/>
      <c r="P87" s="115">
        <v>480</v>
      </c>
    </row>
    <row r="88" spans="3:16" s="140" customFormat="1" ht="12.75">
      <c r="C88" s="141"/>
      <c r="D88" s="106" t="s">
        <v>413</v>
      </c>
      <c r="E88" s="67" t="s">
        <v>233</v>
      </c>
      <c r="F88" s="68" t="s">
        <v>262</v>
      </c>
      <c r="G88" s="143">
        <f t="shared" si="0"/>
        <v>0</v>
      </c>
      <c r="H88" s="122"/>
      <c r="I88" s="122"/>
      <c r="J88" s="122"/>
      <c r="K88" s="122"/>
      <c r="L88" s="142"/>
      <c r="M88" s="52"/>
      <c r="P88" s="115">
        <v>490</v>
      </c>
    </row>
    <row r="89" spans="3:16" s="140" customFormat="1" ht="22.5">
      <c r="C89" s="141"/>
      <c r="D89" s="106" t="s">
        <v>414</v>
      </c>
      <c r="E89" s="88" t="s">
        <v>417</v>
      </c>
      <c r="F89" s="68" t="s">
        <v>263</v>
      </c>
      <c r="G89" s="143">
        <f t="shared" si="0"/>
        <v>0.16944722222222222</v>
      </c>
      <c r="H89" s="122"/>
      <c r="I89" s="122">
        <f>I50/720</f>
        <v>4.3676715999999997E-2</v>
      </c>
      <c r="J89" s="122">
        <f>J50/720</f>
        <v>6.3108923444444437E-2</v>
      </c>
      <c r="K89" s="122">
        <f>K50/720</f>
        <v>6.266158277777778E-2</v>
      </c>
      <c r="L89" s="142"/>
      <c r="M89" s="52"/>
      <c r="P89" s="115"/>
    </row>
    <row r="90" spans="3:16" s="140" customFormat="1" ht="33.75">
      <c r="C90" s="141"/>
      <c r="D90" s="106" t="s">
        <v>415</v>
      </c>
      <c r="E90" s="89" t="s">
        <v>236</v>
      </c>
      <c r="F90" s="68" t="s">
        <v>264</v>
      </c>
      <c r="G90" s="143">
        <f t="shared" si="0"/>
        <v>-6.6769444444444437E-2</v>
      </c>
      <c r="H90" s="143">
        <f>H87-H89</f>
        <v>6.8055555555555564E-5</v>
      </c>
      <c r="I90" s="143">
        <f>I87-I89</f>
        <v>-2.826143822222222E-2</v>
      </c>
      <c r="J90" s="143">
        <f>J87-J89</f>
        <v>-2.7136701222222219E-2</v>
      </c>
      <c r="K90" s="143">
        <f>K87-K89</f>
        <v>-1.1439360555555556E-2</v>
      </c>
      <c r="L90" s="142"/>
      <c r="M90" s="52"/>
      <c r="P90" s="115"/>
    </row>
    <row r="91" spans="3:16" s="140" customFormat="1" ht="12.75">
      <c r="C91" s="141"/>
      <c r="D91" s="106" t="s">
        <v>416</v>
      </c>
      <c r="E91" s="88" t="s">
        <v>163</v>
      </c>
      <c r="F91" s="68" t="s">
        <v>265</v>
      </c>
      <c r="G91" s="143">
        <f t="shared" si="0"/>
        <v>0</v>
      </c>
      <c r="H91" s="143">
        <f>(H54+H67+H72)-(H73+H84+H85+H86+H87)</f>
        <v>0</v>
      </c>
      <c r="I91" s="143">
        <f>(I54+I67+I72)-(I73+I84+I85+I86+I87)</f>
        <v>0</v>
      </c>
      <c r="J91" s="143">
        <f>(J54+J67+J72)-(J73+J84+J85+J86+J87)</f>
        <v>0</v>
      </c>
      <c r="K91" s="143">
        <f>(K54+K67+K72)-(K73+K84+K85+K86+K87)</f>
        <v>0</v>
      </c>
      <c r="L91" s="142"/>
      <c r="M91" s="52"/>
      <c r="P91" s="115">
        <v>500</v>
      </c>
    </row>
    <row r="92" spans="3:16" s="140" customFormat="1" ht="12.75">
      <c r="C92" s="141"/>
      <c r="D92" s="174" t="s">
        <v>202</v>
      </c>
      <c r="E92" s="175"/>
      <c r="F92" s="175"/>
      <c r="G92" s="175"/>
      <c r="H92" s="175"/>
      <c r="I92" s="175"/>
      <c r="J92" s="175"/>
      <c r="K92" s="176"/>
      <c r="L92" s="142"/>
      <c r="M92" s="52"/>
      <c r="P92" s="116"/>
    </row>
    <row r="93" spans="3:16" s="140" customFormat="1" ht="12.75">
      <c r="C93" s="141"/>
      <c r="D93" s="106" t="s">
        <v>418</v>
      </c>
      <c r="E93" s="88" t="s">
        <v>164</v>
      </c>
      <c r="F93" s="68" t="s">
        <v>266</v>
      </c>
      <c r="G93" s="143">
        <f t="shared" si="0"/>
        <v>0</v>
      </c>
      <c r="H93" s="122"/>
      <c r="I93" s="122"/>
      <c r="J93" s="122"/>
      <c r="K93" s="122"/>
      <c r="L93" s="142"/>
      <c r="M93" s="52"/>
      <c r="P93" s="115">
        <v>600</v>
      </c>
    </row>
    <row r="94" spans="3:16" s="140" customFormat="1" ht="12.75">
      <c r="C94" s="141"/>
      <c r="D94" s="106" t="s">
        <v>419</v>
      </c>
      <c r="E94" s="88" t="s">
        <v>165</v>
      </c>
      <c r="F94" s="68" t="s">
        <v>267</v>
      </c>
      <c r="G94" s="143">
        <f t="shared" si="0"/>
        <v>56.423000000000002</v>
      </c>
      <c r="H94" s="122"/>
      <c r="I94" s="122">
        <v>56.423000000000002</v>
      </c>
      <c r="J94" s="122"/>
      <c r="K94" s="122"/>
      <c r="L94" s="142"/>
      <c r="M94" s="52"/>
      <c r="P94" s="115">
        <v>610</v>
      </c>
    </row>
    <row r="95" spans="3:16" s="140" customFormat="1" ht="12.75">
      <c r="C95" s="141"/>
      <c r="D95" s="106" t="s">
        <v>420</v>
      </c>
      <c r="E95" s="88" t="s">
        <v>166</v>
      </c>
      <c r="F95" s="68" t="s">
        <v>268</v>
      </c>
      <c r="G95" s="143">
        <f t="shared" si="0"/>
        <v>0</v>
      </c>
      <c r="H95" s="122"/>
      <c r="I95" s="122"/>
      <c r="J95" s="122"/>
      <c r="K95" s="122"/>
      <c r="L95" s="142"/>
      <c r="M95" s="52"/>
      <c r="P95" s="115">
        <v>620</v>
      </c>
    </row>
    <row r="96" spans="3:16" s="140" customFormat="1" ht="12.75">
      <c r="C96" s="141"/>
      <c r="D96" s="174" t="s">
        <v>209</v>
      </c>
      <c r="E96" s="175"/>
      <c r="F96" s="175"/>
      <c r="G96" s="175"/>
      <c r="H96" s="175"/>
      <c r="I96" s="175"/>
      <c r="J96" s="175"/>
      <c r="K96" s="176"/>
      <c r="L96" s="142"/>
      <c r="M96" s="52"/>
      <c r="P96" s="116"/>
    </row>
    <row r="97" spans="3:16" s="140" customFormat="1" ht="12.75">
      <c r="C97" s="141"/>
      <c r="D97" s="106" t="s">
        <v>421</v>
      </c>
      <c r="E97" s="88" t="s">
        <v>506</v>
      </c>
      <c r="F97" s="68" t="s">
        <v>269</v>
      </c>
      <c r="G97" s="143">
        <f t="shared" si="0"/>
        <v>0</v>
      </c>
      <c r="H97" s="143">
        <f>SUM(H98:H99)</f>
        <v>0</v>
      </c>
      <c r="I97" s="143">
        <f>SUM(I98:I99)</f>
        <v>0</v>
      </c>
      <c r="J97" s="143">
        <f>SUM(J98:J99)</f>
        <v>0</v>
      </c>
      <c r="K97" s="143">
        <f>SUM(K98:K99)</f>
        <v>0</v>
      </c>
      <c r="L97" s="142"/>
      <c r="M97" s="52"/>
      <c r="P97" s="115">
        <v>700</v>
      </c>
    </row>
    <row r="98" spans="3:16" ht="12.75">
      <c r="C98" s="130"/>
      <c r="D98" s="107" t="s">
        <v>422</v>
      </c>
      <c r="E98" s="67" t="s">
        <v>167</v>
      </c>
      <c r="F98" s="68" t="s">
        <v>270</v>
      </c>
      <c r="G98" s="143">
        <f t="shared" si="0"/>
        <v>0</v>
      </c>
      <c r="H98" s="152"/>
      <c r="I98" s="152"/>
      <c r="J98" s="152"/>
      <c r="K98" s="152"/>
      <c r="L98" s="137"/>
      <c r="M98" s="52"/>
      <c r="P98" s="115">
        <v>710</v>
      </c>
    </row>
    <row r="99" spans="3:16" ht="12.75">
      <c r="C99" s="130"/>
      <c r="D99" s="107" t="s">
        <v>423</v>
      </c>
      <c r="E99" s="67" t="s">
        <v>507</v>
      </c>
      <c r="F99" s="68" t="s">
        <v>271</v>
      </c>
      <c r="G99" s="143">
        <f t="shared" si="0"/>
        <v>0</v>
      </c>
      <c r="H99" s="153">
        <f>H102</f>
        <v>0</v>
      </c>
      <c r="I99" s="153">
        <f>I102</f>
        <v>0</v>
      </c>
      <c r="J99" s="153">
        <f>J102</f>
        <v>0</v>
      </c>
      <c r="K99" s="153">
        <f>K102</f>
        <v>0</v>
      </c>
      <c r="L99" s="137"/>
      <c r="M99" s="52"/>
      <c r="P99" s="115">
        <v>720</v>
      </c>
    </row>
    <row r="100" spans="3:16" ht="12.75">
      <c r="C100" s="130"/>
      <c r="D100" s="107" t="s">
        <v>424</v>
      </c>
      <c r="E100" s="69" t="s">
        <v>508</v>
      </c>
      <c r="F100" s="68" t="s">
        <v>273</v>
      </c>
      <c r="G100" s="143">
        <f t="shared" si="0"/>
        <v>0</v>
      </c>
      <c r="H100" s="152"/>
      <c r="I100" s="152"/>
      <c r="J100" s="152"/>
      <c r="K100" s="152"/>
      <c r="L100" s="137"/>
      <c r="M100" s="52"/>
      <c r="P100" s="115">
        <v>730</v>
      </c>
    </row>
    <row r="101" spans="3:16" ht="12.75">
      <c r="C101" s="130"/>
      <c r="D101" s="107" t="s">
        <v>425</v>
      </c>
      <c r="E101" s="71" t="s">
        <v>509</v>
      </c>
      <c r="F101" s="68" t="s">
        <v>274</v>
      </c>
      <c r="G101" s="143">
        <f t="shared" si="0"/>
        <v>0</v>
      </c>
      <c r="H101" s="152"/>
      <c r="I101" s="152"/>
      <c r="J101" s="152"/>
      <c r="K101" s="152"/>
      <c r="L101" s="137"/>
      <c r="M101" s="52"/>
      <c r="P101" s="115"/>
    </row>
    <row r="102" spans="3:16" ht="12.75">
      <c r="C102" s="130"/>
      <c r="D102" s="107" t="s">
        <v>426</v>
      </c>
      <c r="E102" s="69" t="s">
        <v>478</v>
      </c>
      <c r="F102" s="68" t="s">
        <v>275</v>
      </c>
      <c r="G102" s="143">
        <f t="shared" si="0"/>
        <v>0</v>
      </c>
      <c r="H102" s="152"/>
      <c r="I102" s="152"/>
      <c r="J102" s="152"/>
      <c r="K102" s="152"/>
      <c r="L102" s="137"/>
      <c r="M102" s="52"/>
      <c r="P102" s="115">
        <v>740</v>
      </c>
    </row>
    <row r="103" spans="3:16" ht="12.75">
      <c r="C103" s="130"/>
      <c r="D103" s="107" t="s">
        <v>427</v>
      </c>
      <c r="E103" s="88" t="s">
        <v>510</v>
      </c>
      <c r="F103" s="68" t="s">
        <v>277</v>
      </c>
      <c r="G103" s="143">
        <f t="shared" si="0"/>
        <v>0</v>
      </c>
      <c r="H103" s="153">
        <f>H104+H120</f>
        <v>0</v>
      </c>
      <c r="I103" s="153">
        <f>I104+I120</f>
        <v>0</v>
      </c>
      <c r="J103" s="153">
        <f>J104+J120</f>
        <v>0</v>
      </c>
      <c r="K103" s="153">
        <f>K104+K120</f>
        <v>0</v>
      </c>
      <c r="L103" s="137"/>
      <c r="M103" s="52"/>
      <c r="P103" s="115">
        <v>750</v>
      </c>
    </row>
    <row r="104" spans="3:16" ht="12.75">
      <c r="C104" s="130"/>
      <c r="D104" s="107" t="s">
        <v>428</v>
      </c>
      <c r="E104" s="67" t="s">
        <v>279</v>
      </c>
      <c r="F104" s="68" t="s">
        <v>278</v>
      </c>
      <c r="G104" s="143">
        <f t="shared" si="0"/>
        <v>0</v>
      </c>
      <c r="H104" s="153">
        <f>H105+H106</f>
        <v>0</v>
      </c>
      <c r="I104" s="153">
        <f>I105+I106</f>
        <v>0</v>
      </c>
      <c r="J104" s="153">
        <f>J105+J106</f>
        <v>0</v>
      </c>
      <c r="K104" s="153">
        <f>K105+K106</f>
        <v>0</v>
      </c>
      <c r="L104" s="137"/>
      <c r="M104" s="52"/>
      <c r="P104" s="115">
        <v>760</v>
      </c>
    </row>
    <row r="105" spans="3:16" ht="12.75">
      <c r="C105" s="130"/>
      <c r="D105" s="107" t="s">
        <v>429</v>
      </c>
      <c r="E105" s="69" t="s">
        <v>222</v>
      </c>
      <c r="F105" s="68" t="s">
        <v>280</v>
      </c>
      <c r="G105" s="143">
        <f t="shared" si="0"/>
        <v>0</v>
      </c>
      <c r="H105" s="152"/>
      <c r="I105" s="152"/>
      <c r="J105" s="152"/>
      <c r="K105" s="152"/>
      <c r="L105" s="137"/>
      <c r="M105" s="52"/>
      <c r="P105" s="115"/>
    </row>
    <row r="106" spans="3:16" ht="12.75">
      <c r="C106" s="130"/>
      <c r="D106" s="107" t="s">
        <v>430</v>
      </c>
      <c r="E106" s="69" t="s">
        <v>511</v>
      </c>
      <c r="F106" s="68" t="s">
        <v>281</v>
      </c>
      <c r="G106" s="143">
        <f t="shared" si="0"/>
        <v>0</v>
      </c>
      <c r="H106" s="153">
        <f>H107+H110+H113+H116+H117+H118+H119</f>
        <v>0</v>
      </c>
      <c r="I106" s="153">
        <f>I107+I110+I113+I116+I117+I118+I119</f>
        <v>0</v>
      </c>
      <c r="J106" s="153">
        <f>J107+J110+J113+J116+J117+J118+J119</f>
        <v>0</v>
      </c>
      <c r="K106" s="153">
        <f>K107+K110+K113+K116+K117+K118+K119</f>
        <v>0</v>
      </c>
      <c r="L106" s="137"/>
      <c r="M106" s="52"/>
      <c r="P106" s="115"/>
    </row>
    <row r="107" spans="3:16" ht="45">
      <c r="C107" s="130"/>
      <c r="D107" s="107" t="s">
        <v>431</v>
      </c>
      <c r="E107" s="71" t="s">
        <v>512</v>
      </c>
      <c r="F107" s="68" t="s">
        <v>282</v>
      </c>
      <c r="G107" s="143">
        <f t="shared" si="0"/>
        <v>0</v>
      </c>
      <c r="H107" s="154">
        <f>H108+H109</f>
        <v>0</v>
      </c>
      <c r="I107" s="154">
        <f>I108+I109</f>
        <v>0</v>
      </c>
      <c r="J107" s="154">
        <f>J108+J109</f>
        <v>0</v>
      </c>
      <c r="K107" s="154">
        <f>K108+K109</f>
        <v>0</v>
      </c>
      <c r="L107" s="137"/>
      <c r="M107" s="52"/>
      <c r="P107" s="115"/>
    </row>
    <row r="108" spans="3:16" ht="12.75">
      <c r="C108" s="130"/>
      <c r="D108" s="107" t="s">
        <v>433</v>
      </c>
      <c r="E108" s="72" t="s">
        <v>283</v>
      </c>
      <c r="F108" s="68" t="s">
        <v>284</v>
      </c>
      <c r="G108" s="143">
        <f t="shared" si="0"/>
        <v>0</v>
      </c>
      <c r="H108" s="152"/>
      <c r="I108" s="152"/>
      <c r="J108" s="152"/>
      <c r="K108" s="152"/>
      <c r="L108" s="137"/>
      <c r="M108" s="52"/>
      <c r="P108" s="115"/>
    </row>
    <row r="109" spans="3:16" ht="12.75">
      <c r="C109" s="130"/>
      <c r="D109" s="107" t="s">
        <v>434</v>
      </c>
      <c r="E109" s="72" t="s">
        <v>285</v>
      </c>
      <c r="F109" s="68" t="s">
        <v>286</v>
      </c>
      <c r="G109" s="143">
        <f t="shared" si="0"/>
        <v>0</v>
      </c>
      <c r="H109" s="152"/>
      <c r="I109" s="152"/>
      <c r="J109" s="152"/>
      <c r="K109" s="152"/>
      <c r="L109" s="137"/>
      <c r="M109" s="52"/>
      <c r="P109" s="115"/>
    </row>
    <row r="110" spans="3:16" ht="45">
      <c r="C110" s="130"/>
      <c r="D110" s="107" t="s">
        <v>432</v>
      </c>
      <c r="E110" s="71" t="s">
        <v>513</v>
      </c>
      <c r="F110" s="68" t="s">
        <v>287</v>
      </c>
      <c r="G110" s="143">
        <f t="shared" si="0"/>
        <v>0</v>
      </c>
      <c r="H110" s="154">
        <f>H111+H112</f>
        <v>0</v>
      </c>
      <c r="I110" s="154">
        <f>I111+I112</f>
        <v>0</v>
      </c>
      <c r="J110" s="154">
        <f>J111+J112</f>
        <v>0</v>
      </c>
      <c r="K110" s="154">
        <f>K111+K112</f>
        <v>0</v>
      </c>
      <c r="L110" s="137"/>
      <c r="M110" s="52"/>
      <c r="P110" s="115"/>
    </row>
    <row r="111" spans="3:16" ht="12.75">
      <c r="C111" s="130"/>
      <c r="D111" s="107" t="s">
        <v>435</v>
      </c>
      <c r="E111" s="72" t="s">
        <v>283</v>
      </c>
      <c r="F111" s="68" t="s">
        <v>288</v>
      </c>
      <c r="G111" s="143">
        <f t="shared" si="0"/>
        <v>0</v>
      </c>
      <c r="H111" s="152"/>
      <c r="I111" s="152"/>
      <c r="J111" s="152"/>
      <c r="K111" s="152"/>
      <c r="L111" s="137"/>
      <c r="M111" s="52"/>
      <c r="P111" s="115"/>
    </row>
    <row r="112" spans="3:16" ht="12.75">
      <c r="C112" s="130"/>
      <c r="D112" s="107" t="s">
        <v>436</v>
      </c>
      <c r="E112" s="72" t="s">
        <v>285</v>
      </c>
      <c r="F112" s="68" t="s">
        <v>289</v>
      </c>
      <c r="G112" s="143">
        <f t="shared" si="0"/>
        <v>0</v>
      </c>
      <c r="H112" s="152"/>
      <c r="I112" s="152"/>
      <c r="J112" s="152"/>
      <c r="K112" s="152"/>
      <c r="L112" s="137"/>
      <c r="M112" s="52"/>
      <c r="P112" s="115"/>
    </row>
    <row r="113" spans="3:16" ht="22.5">
      <c r="C113" s="130"/>
      <c r="D113" s="107" t="s">
        <v>437</v>
      </c>
      <c r="E113" s="71" t="s">
        <v>514</v>
      </c>
      <c r="F113" s="68" t="s">
        <v>290</v>
      </c>
      <c r="G113" s="143">
        <f t="shared" si="0"/>
        <v>0</v>
      </c>
      <c r="H113" s="154">
        <f>H114+H115</f>
        <v>0</v>
      </c>
      <c r="I113" s="154">
        <f>I114+I115</f>
        <v>0</v>
      </c>
      <c r="J113" s="154">
        <f>J114+J115</f>
        <v>0</v>
      </c>
      <c r="K113" s="154">
        <f>K114+K115</f>
        <v>0</v>
      </c>
      <c r="L113" s="137"/>
      <c r="M113" s="52"/>
      <c r="P113" s="115"/>
    </row>
    <row r="114" spans="3:16" ht="12.75">
      <c r="C114" s="130"/>
      <c r="D114" s="107" t="s">
        <v>438</v>
      </c>
      <c r="E114" s="72" t="s">
        <v>283</v>
      </c>
      <c r="F114" s="68" t="s">
        <v>291</v>
      </c>
      <c r="G114" s="143">
        <f t="shared" si="0"/>
        <v>0</v>
      </c>
      <c r="H114" s="152"/>
      <c r="I114" s="152"/>
      <c r="J114" s="152"/>
      <c r="K114" s="152"/>
      <c r="L114" s="137"/>
      <c r="M114" s="52"/>
      <c r="P114" s="115"/>
    </row>
    <row r="115" spans="3:16" ht="12.75">
      <c r="C115" s="130"/>
      <c r="D115" s="107" t="s">
        <v>439</v>
      </c>
      <c r="E115" s="72" t="s">
        <v>285</v>
      </c>
      <c r="F115" s="68" t="s">
        <v>292</v>
      </c>
      <c r="G115" s="143">
        <f t="shared" si="0"/>
        <v>0</v>
      </c>
      <c r="H115" s="152"/>
      <c r="I115" s="152"/>
      <c r="J115" s="152"/>
      <c r="K115" s="152"/>
      <c r="L115" s="137"/>
      <c r="M115" s="52"/>
      <c r="P115" s="115"/>
    </row>
    <row r="116" spans="3:16" ht="22.5">
      <c r="C116" s="130"/>
      <c r="D116" s="107" t="s">
        <v>440</v>
      </c>
      <c r="E116" s="71" t="s">
        <v>293</v>
      </c>
      <c r="F116" s="68" t="s">
        <v>294</v>
      </c>
      <c r="G116" s="143">
        <f t="shared" si="0"/>
        <v>0</v>
      </c>
      <c r="H116" s="152"/>
      <c r="I116" s="152"/>
      <c r="J116" s="152"/>
      <c r="K116" s="152"/>
      <c r="L116" s="137"/>
      <c r="M116" s="52"/>
      <c r="P116" s="115"/>
    </row>
    <row r="117" spans="3:16" ht="12.75">
      <c r="C117" s="130"/>
      <c r="D117" s="107" t="s">
        <v>441</v>
      </c>
      <c r="E117" s="71" t="s">
        <v>295</v>
      </c>
      <c r="F117" s="68" t="s">
        <v>296</v>
      </c>
      <c r="G117" s="143">
        <f t="shared" si="0"/>
        <v>0</v>
      </c>
      <c r="H117" s="152"/>
      <c r="I117" s="152"/>
      <c r="J117" s="152"/>
      <c r="K117" s="152"/>
      <c r="L117" s="137"/>
      <c r="M117" s="52"/>
      <c r="P117" s="115"/>
    </row>
    <row r="118" spans="3:16" ht="45">
      <c r="C118" s="130"/>
      <c r="D118" s="107" t="s">
        <v>442</v>
      </c>
      <c r="E118" s="71" t="s">
        <v>479</v>
      </c>
      <c r="F118" s="68" t="s">
        <v>297</v>
      </c>
      <c r="G118" s="143">
        <f t="shared" si="0"/>
        <v>0</v>
      </c>
      <c r="H118" s="152"/>
      <c r="I118" s="152"/>
      <c r="J118" s="152"/>
      <c r="K118" s="152"/>
      <c r="L118" s="137"/>
      <c r="M118" s="52"/>
      <c r="P118" s="115"/>
    </row>
    <row r="119" spans="3:16" ht="22.5">
      <c r="C119" s="130"/>
      <c r="D119" s="107" t="s">
        <v>443</v>
      </c>
      <c r="E119" s="71" t="s">
        <v>298</v>
      </c>
      <c r="F119" s="68" t="s">
        <v>299</v>
      </c>
      <c r="G119" s="143">
        <f t="shared" si="0"/>
        <v>0</v>
      </c>
      <c r="H119" s="152"/>
      <c r="I119" s="152"/>
      <c r="J119" s="152"/>
      <c r="K119" s="152"/>
      <c r="L119" s="137"/>
      <c r="M119" s="52"/>
      <c r="P119" s="115"/>
    </row>
    <row r="120" spans="3:16" ht="12.75">
      <c r="C120" s="130"/>
      <c r="D120" s="107" t="s">
        <v>444</v>
      </c>
      <c r="E120" s="67" t="s">
        <v>515</v>
      </c>
      <c r="F120" s="68" t="s">
        <v>300</v>
      </c>
      <c r="G120" s="143">
        <f t="shared" si="0"/>
        <v>0</v>
      </c>
      <c r="H120" s="153">
        <f>H123</f>
        <v>0</v>
      </c>
      <c r="I120" s="153">
        <f>I123</f>
        <v>0</v>
      </c>
      <c r="J120" s="153">
        <f>J123</f>
        <v>0</v>
      </c>
      <c r="K120" s="153">
        <f>K123</f>
        <v>0</v>
      </c>
      <c r="L120" s="137"/>
      <c r="M120" s="52"/>
      <c r="P120" s="115">
        <v>770</v>
      </c>
    </row>
    <row r="121" spans="3:16" ht="12.75">
      <c r="C121" s="130"/>
      <c r="D121" s="107" t="s">
        <v>445</v>
      </c>
      <c r="E121" s="69" t="s">
        <v>508</v>
      </c>
      <c r="F121" s="68" t="s">
        <v>301</v>
      </c>
      <c r="G121" s="143">
        <f t="shared" si="0"/>
        <v>0</v>
      </c>
      <c r="H121" s="152"/>
      <c r="I121" s="152"/>
      <c r="J121" s="152"/>
      <c r="K121" s="152"/>
      <c r="L121" s="137"/>
      <c r="M121" s="52"/>
      <c r="P121" s="115">
        <v>780</v>
      </c>
    </row>
    <row r="122" spans="3:16" ht="12.75">
      <c r="C122" s="130"/>
      <c r="D122" s="107" t="s">
        <v>446</v>
      </c>
      <c r="E122" s="71" t="s">
        <v>516</v>
      </c>
      <c r="F122" s="68" t="s">
        <v>302</v>
      </c>
      <c r="G122" s="143">
        <f t="shared" si="0"/>
        <v>0</v>
      </c>
      <c r="H122" s="152"/>
      <c r="I122" s="152"/>
      <c r="J122" s="152"/>
      <c r="K122" s="152"/>
      <c r="L122" s="137"/>
      <c r="M122" s="52"/>
      <c r="P122" s="115"/>
    </row>
    <row r="123" spans="3:16" ht="12.75">
      <c r="C123" s="130"/>
      <c r="D123" s="107" t="s">
        <v>447</v>
      </c>
      <c r="E123" s="69" t="s">
        <v>478</v>
      </c>
      <c r="F123" s="68" t="s">
        <v>303</v>
      </c>
      <c r="G123" s="143">
        <f t="shared" si="0"/>
        <v>0</v>
      </c>
      <c r="H123" s="152"/>
      <c r="I123" s="152"/>
      <c r="J123" s="152"/>
      <c r="K123" s="152"/>
      <c r="L123" s="137"/>
      <c r="M123" s="52"/>
      <c r="P123" s="115">
        <v>790</v>
      </c>
    </row>
    <row r="124" spans="3:16" ht="22.5">
      <c r="C124" s="130"/>
      <c r="D124" s="107" t="s">
        <v>448</v>
      </c>
      <c r="E124" s="89" t="s">
        <v>517</v>
      </c>
      <c r="F124" s="68" t="s">
        <v>304</v>
      </c>
      <c r="G124" s="143">
        <f t="shared" si="0"/>
        <v>6488.2550000000001</v>
      </c>
      <c r="H124" s="153">
        <f>SUM(H125:H126)</f>
        <v>4.9000000000000002E-2</v>
      </c>
      <c r="I124" s="153">
        <f>SUM(I125:I126)</f>
        <v>3487.5949999999998</v>
      </c>
      <c r="J124" s="153">
        <f>SUM(J125:J126)</f>
        <v>2039.53</v>
      </c>
      <c r="K124" s="153">
        <f>SUM(K125:K126)</f>
        <v>961.08100000000002</v>
      </c>
      <c r="L124" s="137"/>
      <c r="M124" s="52"/>
      <c r="P124" s="115"/>
    </row>
    <row r="125" spans="3:16" ht="12.75">
      <c r="C125" s="130"/>
      <c r="D125" s="107" t="s">
        <v>449</v>
      </c>
      <c r="E125" s="67" t="s">
        <v>167</v>
      </c>
      <c r="F125" s="68" t="s">
        <v>305</v>
      </c>
      <c r="G125" s="143">
        <f t="shared" si="0"/>
        <v>0</v>
      </c>
      <c r="H125" s="152"/>
      <c r="I125" s="152"/>
      <c r="J125" s="152"/>
      <c r="K125" s="152"/>
      <c r="L125" s="137"/>
      <c r="M125" s="52"/>
      <c r="P125" s="115"/>
    </row>
    <row r="126" spans="3:16" ht="12.75">
      <c r="C126" s="130"/>
      <c r="D126" s="107" t="s">
        <v>450</v>
      </c>
      <c r="E126" s="67" t="s">
        <v>507</v>
      </c>
      <c r="F126" s="68" t="s">
        <v>306</v>
      </c>
      <c r="G126" s="143">
        <f t="shared" si="0"/>
        <v>6488.2550000000001</v>
      </c>
      <c r="H126" s="153">
        <f>H128</f>
        <v>4.9000000000000002E-2</v>
      </c>
      <c r="I126" s="153">
        <f>I128</f>
        <v>3487.5949999999998</v>
      </c>
      <c r="J126" s="153">
        <f>J128</f>
        <v>2039.53</v>
      </c>
      <c r="K126" s="153">
        <f>K128</f>
        <v>961.08100000000002</v>
      </c>
      <c r="L126" s="137"/>
      <c r="M126" s="52"/>
      <c r="P126" s="115"/>
    </row>
    <row r="127" spans="3:16" ht="12.75">
      <c r="C127" s="130"/>
      <c r="D127" s="107" t="s">
        <v>451</v>
      </c>
      <c r="E127" s="69" t="s">
        <v>272</v>
      </c>
      <c r="F127" s="68" t="s">
        <v>307</v>
      </c>
      <c r="G127" s="143">
        <f t="shared" si="0"/>
        <v>56.423000000000002</v>
      </c>
      <c r="H127" s="152"/>
      <c r="I127" s="152">
        <f>I94</f>
        <v>56.423000000000002</v>
      </c>
      <c r="J127" s="152"/>
      <c r="K127" s="152"/>
      <c r="L127" s="137"/>
      <c r="M127" s="52"/>
      <c r="P127" s="115"/>
    </row>
    <row r="128" spans="3:16" ht="12.75">
      <c r="C128" s="130"/>
      <c r="D128" s="107" t="s">
        <v>452</v>
      </c>
      <c r="E128" s="69" t="s">
        <v>478</v>
      </c>
      <c r="F128" s="68" t="s">
        <v>308</v>
      </c>
      <c r="G128" s="143">
        <f t="shared" si="0"/>
        <v>6488.2550000000001</v>
      </c>
      <c r="H128" s="152">
        <f>H48+H34</f>
        <v>4.9000000000000002E-2</v>
      </c>
      <c r="I128" s="152">
        <f>I34+64.937</f>
        <v>3487.5949999999998</v>
      </c>
      <c r="J128" s="152">
        <f>J34+3.904+5.038</f>
        <v>2039.53</v>
      </c>
      <c r="K128" s="152">
        <f>K34</f>
        <v>961.08100000000002</v>
      </c>
      <c r="L128" s="137"/>
      <c r="M128" s="52"/>
      <c r="P128" s="115"/>
    </row>
    <row r="129" spans="3:16" ht="12.75">
      <c r="C129" s="130"/>
      <c r="D129" s="174" t="s">
        <v>203</v>
      </c>
      <c r="E129" s="175"/>
      <c r="F129" s="175"/>
      <c r="G129" s="175"/>
      <c r="H129" s="175"/>
      <c r="I129" s="175"/>
      <c r="J129" s="175"/>
      <c r="K129" s="176"/>
      <c r="L129" s="137"/>
      <c r="M129" s="52"/>
      <c r="P129" s="117"/>
    </row>
    <row r="130" spans="3:16" ht="22.5">
      <c r="C130" s="130"/>
      <c r="D130" s="107" t="s">
        <v>453</v>
      </c>
      <c r="E130" s="88" t="s">
        <v>518</v>
      </c>
      <c r="F130" s="68" t="s">
        <v>309</v>
      </c>
      <c r="G130" s="143">
        <f t="shared" si="0"/>
        <v>0</v>
      </c>
      <c r="H130" s="153">
        <f>SUM( H131:H132)</f>
        <v>0</v>
      </c>
      <c r="I130" s="153">
        <f>SUM( I131:I132)</f>
        <v>0</v>
      </c>
      <c r="J130" s="153">
        <f>SUM( J131:J132)</f>
        <v>0</v>
      </c>
      <c r="K130" s="153">
        <f>SUM( K131:K132)</f>
        <v>0</v>
      </c>
      <c r="L130" s="137"/>
      <c r="M130" s="52"/>
      <c r="P130" s="115">
        <v>800</v>
      </c>
    </row>
    <row r="131" spans="3:16" ht="12.75">
      <c r="C131" s="130"/>
      <c r="D131" s="107" t="s">
        <v>454</v>
      </c>
      <c r="E131" s="67" t="s">
        <v>167</v>
      </c>
      <c r="F131" s="68" t="s">
        <v>310</v>
      </c>
      <c r="G131" s="143">
        <f t="shared" si="0"/>
        <v>0</v>
      </c>
      <c r="H131" s="152"/>
      <c r="I131" s="152"/>
      <c r="J131" s="152"/>
      <c r="K131" s="152"/>
      <c r="L131" s="137"/>
      <c r="M131" s="52"/>
      <c r="P131" s="115">
        <v>810</v>
      </c>
    </row>
    <row r="132" spans="3:16" ht="12.75">
      <c r="C132" s="130"/>
      <c r="D132" s="107" t="s">
        <v>455</v>
      </c>
      <c r="E132" s="67" t="s">
        <v>507</v>
      </c>
      <c r="F132" s="68" t="s">
        <v>311</v>
      </c>
      <c r="G132" s="143">
        <f t="shared" si="0"/>
        <v>0</v>
      </c>
      <c r="H132" s="153">
        <f>H133+H135</f>
        <v>0</v>
      </c>
      <c r="I132" s="153">
        <f>I133+I135</f>
        <v>0</v>
      </c>
      <c r="J132" s="153">
        <f>J133+J135</f>
        <v>0</v>
      </c>
      <c r="K132" s="153">
        <f>K133+K135</f>
        <v>0</v>
      </c>
      <c r="L132" s="137"/>
      <c r="M132" s="52"/>
      <c r="P132" s="115">
        <v>820</v>
      </c>
    </row>
    <row r="133" spans="3:16" ht="12.75">
      <c r="C133" s="130"/>
      <c r="D133" s="107" t="s">
        <v>456</v>
      </c>
      <c r="E133" s="69" t="s">
        <v>519</v>
      </c>
      <c r="F133" s="68" t="s">
        <v>312</v>
      </c>
      <c r="G133" s="143">
        <f t="shared" si="0"/>
        <v>0</v>
      </c>
      <c r="H133" s="152"/>
      <c r="I133" s="152"/>
      <c r="J133" s="152"/>
      <c r="K133" s="152"/>
      <c r="L133" s="137"/>
      <c r="M133" s="52"/>
      <c r="P133" s="115">
        <v>830</v>
      </c>
    </row>
    <row r="134" spans="3:16" ht="12.75">
      <c r="C134" s="130"/>
      <c r="D134" s="107" t="s">
        <v>457</v>
      </c>
      <c r="E134" s="71" t="s">
        <v>520</v>
      </c>
      <c r="F134" s="68" t="s">
        <v>313</v>
      </c>
      <c r="G134" s="143">
        <f t="shared" si="0"/>
        <v>0</v>
      </c>
      <c r="H134" s="152"/>
      <c r="I134" s="152"/>
      <c r="J134" s="152"/>
      <c r="K134" s="152"/>
      <c r="L134" s="137"/>
      <c r="M134" s="52"/>
      <c r="P134" s="117"/>
    </row>
    <row r="135" spans="3:16" ht="12.75">
      <c r="C135" s="130"/>
      <c r="D135" s="107" t="s">
        <v>458</v>
      </c>
      <c r="E135" s="69" t="s">
        <v>169</v>
      </c>
      <c r="F135" s="68" t="s">
        <v>314</v>
      </c>
      <c r="G135" s="143">
        <f t="shared" si="0"/>
        <v>0</v>
      </c>
      <c r="H135" s="152"/>
      <c r="I135" s="152"/>
      <c r="J135" s="152"/>
      <c r="K135" s="152"/>
      <c r="L135" s="137"/>
      <c r="M135" s="52"/>
      <c r="P135" s="115">
        <v>840</v>
      </c>
    </row>
    <row r="136" spans="3:16" ht="12.75">
      <c r="C136" s="130"/>
      <c r="D136" s="107" t="s">
        <v>336</v>
      </c>
      <c r="E136" s="88" t="s">
        <v>521</v>
      </c>
      <c r="F136" s="68" t="s">
        <v>315</v>
      </c>
      <c r="G136" s="143">
        <f t="shared" si="0"/>
        <v>0</v>
      </c>
      <c r="H136" s="154">
        <f>SUM( H137+H142)</f>
        <v>0</v>
      </c>
      <c r="I136" s="154">
        <f>SUM( I137+I142)</f>
        <v>0</v>
      </c>
      <c r="J136" s="154">
        <f>SUM( J137+J142)</f>
        <v>0</v>
      </c>
      <c r="K136" s="154">
        <f>SUM( K137+K142)</f>
        <v>0</v>
      </c>
      <c r="L136" s="155"/>
      <c r="M136" s="52"/>
      <c r="P136" s="115">
        <v>850</v>
      </c>
    </row>
    <row r="137" spans="3:16" ht="12.75">
      <c r="C137" s="130"/>
      <c r="D137" s="107" t="s">
        <v>459</v>
      </c>
      <c r="E137" s="67" t="s">
        <v>167</v>
      </c>
      <c r="F137" s="68" t="s">
        <v>316</v>
      </c>
      <c r="G137" s="143">
        <f t="shared" ref="G137:G150" si="1">SUM(H137:K137)</f>
        <v>0</v>
      </c>
      <c r="H137" s="154">
        <f>SUM( H138:H139)</f>
        <v>0</v>
      </c>
      <c r="I137" s="154">
        <f>SUM( I138:I139)</f>
        <v>0</v>
      </c>
      <c r="J137" s="154">
        <f>SUM( J138:J139)</f>
        <v>0</v>
      </c>
      <c r="K137" s="154">
        <f>SUM( K138:K139)</f>
        <v>0</v>
      </c>
      <c r="L137" s="155"/>
      <c r="M137" s="52"/>
      <c r="P137" s="115">
        <v>860</v>
      </c>
    </row>
    <row r="138" spans="3:16" ht="12.75">
      <c r="C138" s="130"/>
      <c r="D138" s="107" t="s">
        <v>460</v>
      </c>
      <c r="E138" s="69" t="s">
        <v>222</v>
      </c>
      <c r="F138" s="68" t="s">
        <v>317</v>
      </c>
      <c r="G138" s="143">
        <f t="shared" si="1"/>
        <v>0</v>
      </c>
      <c r="H138" s="156"/>
      <c r="I138" s="156"/>
      <c r="J138" s="156"/>
      <c r="K138" s="156"/>
      <c r="L138" s="155"/>
      <c r="M138" s="52"/>
      <c r="P138" s="115"/>
    </row>
    <row r="139" spans="3:16" ht="12.75">
      <c r="C139" s="130"/>
      <c r="D139" s="107" t="s">
        <v>461</v>
      </c>
      <c r="E139" s="69" t="s">
        <v>511</v>
      </c>
      <c r="F139" s="68" t="s">
        <v>318</v>
      </c>
      <c r="G139" s="143">
        <f t="shared" si="1"/>
        <v>0</v>
      </c>
      <c r="H139" s="154">
        <f>H140+H141</f>
        <v>0</v>
      </c>
      <c r="I139" s="154">
        <f>I140+I141</f>
        <v>0</v>
      </c>
      <c r="J139" s="154">
        <f>J140+J141</f>
        <v>0</v>
      </c>
      <c r="K139" s="154">
        <f>K140+K141</f>
        <v>0</v>
      </c>
      <c r="L139" s="155"/>
      <c r="M139" s="52"/>
      <c r="P139" s="115"/>
    </row>
    <row r="140" spans="3:16" ht="12.75">
      <c r="C140" s="130"/>
      <c r="D140" s="107" t="s">
        <v>462</v>
      </c>
      <c r="E140" s="71" t="s">
        <v>283</v>
      </c>
      <c r="F140" s="68" t="s">
        <v>319</v>
      </c>
      <c r="G140" s="143">
        <f t="shared" si="1"/>
        <v>0</v>
      </c>
      <c r="H140" s="156"/>
      <c r="I140" s="156"/>
      <c r="J140" s="156"/>
      <c r="K140" s="156"/>
      <c r="L140" s="155"/>
      <c r="M140" s="52"/>
      <c r="P140" s="115"/>
    </row>
    <row r="141" spans="3:16" ht="12.75">
      <c r="C141" s="130"/>
      <c r="D141" s="107" t="s">
        <v>463</v>
      </c>
      <c r="E141" s="71" t="s">
        <v>320</v>
      </c>
      <c r="F141" s="68" t="s">
        <v>321</v>
      </c>
      <c r="G141" s="143">
        <f t="shared" si="1"/>
        <v>0</v>
      </c>
      <c r="H141" s="156"/>
      <c r="I141" s="156"/>
      <c r="J141" s="156"/>
      <c r="K141" s="156"/>
      <c r="L141" s="155"/>
      <c r="M141" s="52"/>
      <c r="P141" s="115"/>
    </row>
    <row r="142" spans="3:16" ht="12.75">
      <c r="C142" s="130"/>
      <c r="D142" s="107" t="s">
        <v>464</v>
      </c>
      <c r="E142" s="67" t="s">
        <v>515</v>
      </c>
      <c r="F142" s="68" t="s">
        <v>322</v>
      </c>
      <c r="G142" s="143">
        <f t="shared" si="1"/>
        <v>0</v>
      </c>
      <c r="H142" s="154">
        <f>H143+H145</f>
        <v>0</v>
      </c>
      <c r="I142" s="154">
        <f>I143+I145</f>
        <v>0</v>
      </c>
      <c r="J142" s="154">
        <f>J143+J145</f>
        <v>0</v>
      </c>
      <c r="K142" s="154">
        <f>K143+K145</f>
        <v>0</v>
      </c>
      <c r="L142" s="155"/>
      <c r="M142" s="52"/>
      <c r="P142" s="115">
        <v>870</v>
      </c>
    </row>
    <row r="143" spans="3:16" ht="12.75">
      <c r="C143" s="130"/>
      <c r="D143" s="107" t="s">
        <v>465</v>
      </c>
      <c r="E143" s="69" t="s">
        <v>519</v>
      </c>
      <c r="F143" s="68" t="s">
        <v>323</v>
      </c>
      <c r="G143" s="143">
        <f t="shared" si="1"/>
        <v>0</v>
      </c>
      <c r="H143" s="152"/>
      <c r="I143" s="152"/>
      <c r="J143" s="152"/>
      <c r="K143" s="152"/>
      <c r="L143" s="155"/>
      <c r="M143" s="52"/>
      <c r="P143" s="115">
        <v>880</v>
      </c>
    </row>
    <row r="144" spans="3:16" ht="12.75">
      <c r="C144" s="130"/>
      <c r="D144" s="107" t="s">
        <v>466</v>
      </c>
      <c r="E144" s="71" t="s">
        <v>520</v>
      </c>
      <c r="F144" s="68" t="s">
        <v>324</v>
      </c>
      <c r="G144" s="143">
        <f t="shared" si="1"/>
        <v>0</v>
      </c>
      <c r="H144" s="152"/>
      <c r="I144" s="152"/>
      <c r="J144" s="152"/>
      <c r="K144" s="152"/>
      <c r="L144" s="155"/>
      <c r="M144" s="52"/>
      <c r="P144" s="115"/>
    </row>
    <row r="145" spans="3:19" ht="12.75">
      <c r="C145" s="130"/>
      <c r="D145" s="107" t="s">
        <v>467</v>
      </c>
      <c r="E145" s="69" t="s">
        <v>169</v>
      </c>
      <c r="F145" s="68" t="s">
        <v>325</v>
      </c>
      <c r="G145" s="143">
        <f t="shared" si="1"/>
        <v>0</v>
      </c>
      <c r="H145" s="157"/>
      <c r="I145" s="157"/>
      <c r="J145" s="157"/>
      <c r="K145" s="157"/>
      <c r="L145" s="155"/>
      <c r="M145" s="52"/>
      <c r="P145" s="115">
        <v>890</v>
      </c>
    </row>
    <row r="146" spans="3:19" ht="22.5">
      <c r="C146" s="130"/>
      <c r="D146" s="107" t="s">
        <v>468</v>
      </c>
      <c r="E146" s="88" t="s">
        <v>522</v>
      </c>
      <c r="F146" s="68" t="s">
        <v>326</v>
      </c>
      <c r="G146" s="143">
        <f t="shared" si="1"/>
        <v>4142.6823690959991</v>
      </c>
      <c r="H146" s="158">
        <f>SUM( H147:H148)</f>
        <v>4.809840000000001E-3</v>
      </c>
      <c r="I146" s="158">
        <f>SUM( I147:I148)</f>
        <v>3848.1375834959999</v>
      </c>
      <c r="J146" s="158">
        <f>SUM( J147:J148)</f>
        <v>200.20026479999999</v>
      </c>
      <c r="K146" s="158">
        <f>SUM( K147:K148)</f>
        <v>94.339710960000005</v>
      </c>
      <c r="L146" s="155"/>
      <c r="M146" s="52"/>
      <c r="P146" s="115">
        <v>900</v>
      </c>
    </row>
    <row r="147" spans="3:19" ht="12.75">
      <c r="C147" s="130"/>
      <c r="D147" s="107" t="s">
        <v>469</v>
      </c>
      <c r="E147" s="67" t="s">
        <v>167</v>
      </c>
      <c r="F147" s="68" t="s">
        <v>327</v>
      </c>
      <c r="G147" s="143">
        <f t="shared" si="1"/>
        <v>0</v>
      </c>
      <c r="H147" s="157"/>
      <c r="I147" s="157"/>
      <c r="J147" s="157"/>
      <c r="K147" s="157"/>
      <c r="L147" s="155"/>
      <c r="M147" s="52"/>
      <c r="P147" s="115"/>
    </row>
    <row r="148" spans="3:19" ht="12.75">
      <c r="C148" s="130"/>
      <c r="D148" s="107" t="s">
        <v>470</v>
      </c>
      <c r="E148" s="67" t="s">
        <v>507</v>
      </c>
      <c r="F148" s="68" t="s">
        <v>328</v>
      </c>
      <c r="G148" s="143">
        <f t="shared" si="1"/>
        <v>4142.6823690959991</v>
      </c>
      <c r="H148" s="158">
        <f>H149+H150</f>
        <v>4.809840000000001E-3</v>
      </c>
      <c r="I148" s="158">
        <f>I149+I150</f>
        <v>3848.1375834959999</v>
      </c>
      <c r="J148" s="158">
        <f>J149+J150</f>
        <v>200.20026479999999</v>
      </c>
      <c r="K148" s="158">
        <f>K149+K150</f>
        <v>94.339710960000005</v>
      </c>
      <c r="L148" s="155"/>
      <c r="M148" s="52"/>
      <c r="P148" s="115"/>
    </row>
    <row r="149" spans="3:19" ht="12.75">
      <c r="C149" s="130"/>
      <c r="D149" s="107" t="s">
        <v>471</v>
      </c>
      <c r="E149" s="69" t="s">
        <v>168</v>
      </c>
      <c r="F149" s="68" t="s">
        <v>331</v>
      </c>
      <c r="G149" s="143">
        <f t="shared" si="1"/>
        <v>3505.7952582960002</v>
      </c>
      <c r="H149" s="157"/>
      <c r="I149" s="157">
        <f>I127*51778.46/1000*1.2</f>
        <v>3505.7952582960002</v>
      </c>
      <c r="J149" s="157"/>
      <c r="K149" s="157"/>
      <c r="L149" s="155"/>
      <c r="M149" s="52"/>
      <c r="P149" s="115" t="s">
        <v>329</v>
      </c>
    </row>
    <row r="150" spans="3:19" ht="12.75">
      <c r="C150" s="130"/>
      <c r="D150" s="107" t="s">
        <v>472</v>
      </c>
      <c r="E150" s="69" t="s">
        <v>169</v>
      </c>
      <c r="F150" s="68" t="s">
        <v>332</v>
      </c>
      <c r="G150" s="143">
        <f t="shared" si="1"/>
        <v>636.88711079999996</v>
      </c>
      <c r="H150" s="157">
        <f>H128*81.8/1000*1.2</f>
        <v>4.809840000000001E-3</v>
      </c>
      <c r="I150" s="157">
        <f>I128*81.8/1000*1.2</f>
        <v>342.34232519999995</v>
      </c>
      <c r="J150" s="157">
        <f>J128*81.8/1000*1.2</f>
        <v>200.20026479999999</v>
      </c>
      <c r="K150" s="157">
        <f>K128*81.8/1000*1.2</f>
        <v>94.339710960000005</v>
      </c>
      <c r="L150" s="155"/>
      <c r="M150" s="52"/>
      <c r="P150" s="115" t="s">
        <v>330</v>
      </c>
    </row>
    <row r="151" spans="3:19">
      <c r="D151" s="135"/>
      <c r="E151" s="159"/>
      <c r="F151" s="159"/>
      <c r="G151" s="159"/>
      <c r="H151" s="159"/>
      <c r="I151" s="159"/>
      <c r="J151" s="159"/>
      <c r="K151" s="160"/>
      <c r="L151" s="160"/>
      <c r="M151" s="160"/>
      <c r="N151" s="160"/>
      <c r="O151" s="160"/>
      <c r="P151" s="160"/>
      <c r="Q151" s="160"/>
      <c r="R151" s="161"/>
      <c r="S151" s="161"/>
    </row>
    <row r="152" spans="3:19" ht="12.75">
      <c r="E152" s="52" t="s">
        <v>204</v>
      </c>
      <c r="F152" s="180" t="str">
        <f>IF([3]Титульный!G45="","",[3]Титульный!G45)</f>
        <v>ведущий экономист</v>
      </c>
      <c r="G152" s="180"/>
      <c r="H152" s="53"/>
      <c r="I152" s="180" t="str">
        <f>IF([3]Титульный!G44="","",[3]Титульный!G44)</f>
        <v>Кривнева Е.В.</v>
      </c>
      <c r="J152" s="180"/>
      <c r="K152" s="180"/>
      <c r="L152" s="53"/>
      <c r="M152" s="55"/>
      <c r="N152" s="55"/>
      <c r="O152" s="54"/>
      <c r="P152" s="160"/>
      <c r="Q152" s="160"/>
      <c r="R152" s="161"/>
      <c r="S152" s="161"/>
    </row>
    <row r="153" spans="3:19" ht="12.75">
      <c r="E153" s="56" t="s">
        <v>205</v>
      </c>
      <c r="F153" s="181" t="s">
        <v>176</v>
      </c>
      <c r="G153" s="181"/>
      <c r="H153" s="54"/>
      <c r="I153" s="181" t="s">
        <v>174</v>
      </c>
      <c r="J153" s="181"/>
      <c r="K153" s="181"/>
      <c r="L153" s="54"/>
      <c r="M153" s="181" t="s">
        <v>175</v>
      </c>
      <c r="N153" s="181"/>
      <c r="O153" s="52"/>
      <c r="P153" s="160"/>
      <c r="Q153" s="160"/>
      <c r="R153" s="161"/>
      <c r="S153" s="161"/>
    </row>
    <row r="154" spans="3:19" ht="12.75">
      <c r="E154" s="56" t="s">
        <v>206</v>
      </c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160"/>
      <c r="Q154" s="160"/>
      <c r="R154" s="161"/>
      <c r="S154" s="161"/>
    </row>
    <row r="155" spans="3:19" ht="12.75">
      <c r="E155" s="56" t="s">
        <v>207</v>
      </c>
      <c r="F155" s="180" t="str">
        <f>IF([3]Титульный!G46="","",[3]Титульный!G46)</f>
        <v>(861) 258-50-71</v>
      </c>
      <c r="G155" s="180"/>
      <c r="H155" s="180"/>
      <c r="I155" s="52"/>
      <c r="J155" s="56" t="s">
        <v>177</v>
      </c>
      <c r="K155" s="123"/>
      <c r="L155" s="52"/>
      <c r="M155" s="52"/>
      <c r="N155" s="52"/>
      <c r="O155" s="52"/>
      <c r="P155" s="160"/>
      <c r="Q155" s="160"/>
      <c r="R155" s="161"/>
      <c r="S155" s="161"/>
    </row>
    <row r="156" spans="3:19" ht="12.75">
      <c r="E156" s="52" t="s">
        <v>208</v>
      </c>
      <c r="F156" s="182" t="s">
        <v>178</v>
      </c>
      <c r="G156" s="182"/>
      <c r="H156" s="182"/>
      <c r="I156" s="52"/>
      <c r="J156" s="57" t="s">
        <v>179</v>
      </c>
      <c r="K156" s="57"/>
      <c r="L156" s="52"/>
      <c r="M156" s="52"/>
      <c r="N156" s="52"/>
      <c r="O156" s="52"/>
      <c r="P156" s="160"/>
      <c r="Q156" s="160"/>
      <c r="R156" s="161"/>
      <c r="S156" s="161"/>
    </row>
    <row r="157" spans="3:19"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1"/>
      <c r="S157" s="161"/>
    </row>
    <row r="158" spans="3:19"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1"/>
      <c r="S158" s="161"/>
    </row>
    <row r="159" spans="3:19"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1"/>
      <c r="S159" s="161"/>
    </row>
    <row r="160" spans="3:19"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1"/>
      <c r="S160" s="161"/>
    </row>
    <row r="161" spans="5:19"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1"/>
      <c r="S161" s="161"/>
    </row>
    <row r="162" spans="5:19"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1"/>
      <c r="S162" s="161"/>
    </row>
    <row r="163" spans="5:19"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1"/>
      <c r="S163" s="161"/>
    </row>
    <row r="164" spans="5:19"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1"/>
      <c r="S164" s="161"/>
    </row>
    <row r="165" spans="5:19">
      <c r="E165" s="160"/>
      <c r="F165" s="160"/>
      <c r="G165" s="160"/>
      <c r="H165" s="160"/>
      <c r="I165" s="160"/>
      <c r="J165" s="160"/>
      <c r="K165" s="160"/>
      <c r="L165" s="160"/>
      <c r="M165" s="160"/>
      <c r="N165" s="160"/>
      <c r="O165" s="160"/>
      <c r="P165" s="160"/>
      <c r="Q165" s="160"/>
      <c r="R165" s="161"/>
      <c r="S165" s="161"/>
    </row>
    <row r="166" spans="5:19">
      <c r="E166" s="160"/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1"/>
      <c r="S166" s="161"/>
    </row>
    <row r="167" spans="5:19"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1"/>
      <c r="S167" s="161"/>
    </row>
    <row r="168" spans="5:19"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1"/>
      <c r="S168" s="161"/>
    </row>
    <row r="169" spans="5:19"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1"/>
      <c r="S169" s="161"/>
    </row>
    <row r="170" spans="5:19"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1"/>
      <c r="S170" s="161"/>
    </row>
    <row r="171" spans="5:19"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1"/>
      <c r="S171" s="161"/>
    </row>
    <row r="172" spans="5:19"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1"/>
      <c r="S172" s="161"/>
    </row>
    <row r="173" spans="5:19"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1"/>
      <c r="S173" s="161"/>
    </row>
    <row r="174" spans="5:19"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1"/>
      <c r="S174" s="161"/>
    </row>
    <row r="175" spans="5:19"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1"/>
      <c r="S175" s="161"/>
    </row>
    <row r="176" spans="5:19"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1"/>
      <c r="S176" s="161"/>
    </row>
    <row r="177" spans="5:19"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1"/>
      <c r="S177" s="161"/>
    </row>
    <row r="178" spans="5:19"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1"/>
      <c r="S178" s="161"/>
    </row>
    <row r="179" spans="5:19"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1"/>
      <c r="S179" s="161"/>
    </row>
    <row r="180" spans="5:19"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1"/>
      <c r="S180" s="161"/>
    </row>
    <row r="181" spans="5:19"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1"/>
      <c r="S181" s="161"/>
    </row>
    <row r="182" spans="5:19"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</row>
    <row r="183" spans="5:19">
      <c r="E183" s="161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</row>
    <row r="184" spans="5:19"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</row>
    <row r="185" spans="5:19"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  <c r="P185" s="161"/>
      <c r="Q185" s="161"/>
      <c r="R185" s="161"/>
      <c r="S185" s="161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42 E25:E26 E81 E64:E65"/>
    <dataValidation type="decimal" allowBlank="1" showErrorMessage="1" errorTitle="Ошибка" error="Допускается ввод только действительных чисел!" sqref="G62:K65 G93:K95 G67:K81 G15:K18 G83:K91 G97:K128 G23:K26 G44:K52 G28:K42 G130:K150 G59:K60 G20:K21 G54:K57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C185"/>
  <sheetViews>
    <sheetView topLeftCell="C127" workbookViewId="0">
      <selection activeCell="K150" sqref="K150"/>
    </sheetView>
  </sheetViews>
  <sheetFormatPr defaultRowHeight="11.25"/>
  <cols>
    <col min="1" max="2" width="9.140625" style="125" hidden="1" customWidth="1"/>
    <col min="3" max="3" width="4.140625" style="125" customWidth="1"/>
    <col min="4" max="4" width="9.140625" style="125" customWidth="1"/>
    <col min="5" max="5" width="69" style="125" customWidth="1"/>
    <col min="6" max="6" width="6.7109375" style="125" customWidth="1"/>
    <col min="7" max="11" width="15.7109375" style="125" customWidth="1"/>
    <col min="12" max="12" width="6.7109375" style="125" customWidth="1"/>
    <col min="13" max="16" width="15.7109375" style="125" customWidth="1"/>
    <col min="17" max="35" width="11.7109375" style="125" customWidth="1"/>
    <col min="36" max="16384" width="9.140625" style="125"/>
  </cols>
  <sheetData>
    <row r="1" spans="1:81" hidden="1">
      <c r="S1" s="126"/>
      <c r="T1" s="126"/>
      <c r="U1" s="126"/>
      <c r="V1" s="126"/>
      <c r="Y1" s="126"/>
      <c r="AA1" s="126"/>
      <c r="AN1" s="126"/>
      <c r="AO1" s="126"/>
      <c r="AP1" s="126"/>
      <c r="BC1" s="126"/>
      <c r="BF1" s="126"/>
      <c r="BG1" s="126"/>
      <c r="BI1" s="126"/>
      <c r="BM1" s="126"/>
      <c r="BO1" s="126"/>
      <c r="BX1" s="126"/>
      <c r="BY1" s="126"/>
      <c r="CC1" s="126"/>
    </row>
    <row r="2" spans="1:81" hidden="1"/>
    <row r="3" spans="1:81" hidden="1"/>
    <row r="4" spans="1:81" hidden="1">
      <c r="A4" s="127"/>
      <c r="F4" s="128"/>
      <c r="G4" s="128"/>
      <c r="H4" s="128"/>
      <c r="I4" s="128"/>
      <c r="J4" s="128"/>
      <c r="K4" s="128"/>
      <c r="M4" s="128"/>
      <c r="N4" s="128"/>
      <c r="O4" s="128"/>
      <c r="P4" s="128"/>
      <c r="Q4" s="128"/>
    </row>
    <row r="5" spans="1:81" hidden="1">
      <c r="A5" s="129"/>
      <c r="F5" s="125" t="s">
        <v>142</v>
      </c>
      <c r="G5" s="125" t="s">
        <v>143</v>
      </c>
      <c r="H5" s="125" t="s">
        <v>144</v>
      </c>
      <c r="I5" s="125" t="s">
        <v>145</v>
      </c>
      <c r="J5" s="125" t="s">
        <v>146</v>
      </c>
      <c r="K5" s="125" t="s">
        <v>147</v>
      </c>
      <c r="L5" s="125" t="s">
        <v>148</v>
      </c>
      <c r="M5" s="125" t="s">
        <v>149</v>
      </c>
      <c r="N5" s="125" t="s">
        <v>149</v>
      </c>
      <c r="O5" s="125" t="s">
        <v>150</v>
      </c>
      <c r="P5" s="125" t="s">
        <v>151</v>
      </c>
      <c r="Q5" s="125" t="s">
        <v>152</v>
      </c>
    </row>
    <row r="6" spans="1:81" hidden="1">
      <c r="A6" s="129"/>
    </row>
    <row r="7" spans="1:81" ht="12" customHeight="1">
      <c r="A7" s="129"/>
      <c r="D7" s="130"/>
      <c r="E7" s="130"/>
      <c r="F7" s="130"/>
      <c r="G7" s="130"/>
      <c r="H7" s="130"/>
      <c r="I7" s="130"/>
      <c r="J7" s="130"/>
      <c r="K7" s="131"/>
      <c r="Q7" s="132"/>
    </row>
    <row r="8" spans="1:81" ht="22.5" customHeight="1">
      <c r="A8" s="129"/>
      <c r="D8" s="183" t="s">
        <v>153</v>
      </c>
      <c r="E8" s="18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</row>
    <row r="9" spans="1:81" hidden="1">
      <c r="A9" s="129"/>
      <c r="D9" s="134" t="e">
        <f>IF(org="","Не определено",org)</f>
        <v>#REF!</v>
      </c>
      <c r="E9" s="134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</row>
    <row r="10" spans="1:81" ht="12" customHeight="1">
      <c r="D10" s="135"/>
      <c r="E10" s="135"/>
      <c r="F10" s="130"/>
      <c r="G10" s="130"/>
      <c r="H10" s="130"/>
      <c r="I10" s="130"/>
      <c r="K10" s="136" t="s">
        <v>132</v>
      </c>
    </row>
    <row r="11" spans="1:81" ht="15" customHeight="1">
      <c r="C11" s="130"/>
      <c r="D11" s="172" t="s">
        <v>140</v>
      </c>
      <c r="E11" s="185" t="s">
        <v>154</v>
      </c>
      <c r="F11" s="185" t="s">
        <v>133</v>
      </c>
      <c r="G11" s="185" t="s">
        <v>155</v>
      </c>
      <c r="H11" s="185" t="s">
        <v>156</v>
      </c>
      <c r="I11" s="185"/>
      <c r="J11" s="185"/>
      <c r="K11" s="187"/>
      <c r="L11" s="137"/>
    </row>
    <row r="12" spans="1:81" ht="15" customHeight="1">
      <c r="C12" s="130"/>
      <c r="D12" s="184"/>
      <c r="E12" s="186"/>
      <c r="F12" s="186"/>
      <c r="G12" s="186"/>
      <c r="H12" s="138" t="s">
        <v>134</v>
      </c>
      <c r="I12" s="138" t="s">
        <v>135</v>
      </c>
      <c r="J12" s="138" t="s">
        <v>136</v>
      </c>
      <c r="K12" s="139" t="s">
        <v>137</v>
      </c>
      <c r="L12" s="137"/>
    </row>
    <row r="13" spans="1:81" ht="12" customHeight="1">
      <c r="D13" s="25">
        <v>0</v>
      </c>
      <c r="E13" s="25">
        <v>1</v>
      </c>
      <c r="F13" s="25">
        <v>2</v>
      </c>
      <c r="G13" s="25">
        <v>3</v>
      </c>
      <c r="H13" s="25">
        <v>4</v>
      </c>
      <c r="I13" s="25">
        <v>5</v>
      </c>
      <c r="J13" s="25">
        <v>6</v>
      </c>
      <c r="K13" s="25">
        <v>7</v>
      </c>
    </row>
    <row r="14" spans="1:81" s="140" customFormat="1" ht="15" customHeight="1">
      <c r="C14" s="141"/>
      <c r="D14" s="174" t="s">
        <v>200</v>
      </c>
      <c r="E14" s="175"/>
      <c r="F14" s="175"/>
      <c r="G14" s="175"/>
      <c r="H14" s="175"/>
      <c r="I14" s="175"/>
      <c r="J14" s="175"/>
      <c r="K14" s="176"/>
      <c r="L14" s="142"/>
    </row>
    <row r="15" spans="1:81" s="140" customFormat="1" ht="15" customHeight="1">
      <c r="C15" s="141"/>
      <c r="D15" s="106" t="s">
        <v>370</v>
      </c>
      <c r="E15" s="88" t="s">
        <v>498</v>
      </c>
      <c r="F15" s="68">
        <v>10</v>
      </c>
      <c r="G15" s="143">
        <f>SUM(H15:K15)</f>
        <v>6299.723</v>
      </c>
      <c r="H15" s="143">
        <f>H16+H17+H20+H23</f>
        <v>866.60599999999999</v>
      </c>
      <c r="I15" s="143">
        <f>I16+I17+I20+I23</f>
        <v>4119.66</v>
      </c>
      <c r="J15" s="143">
        <f>J16+J17+J20+J23</f>
        <v>1313.4569999999999</v>
      </c>
      <c r="K15" s="143">
        <f>K16+K17+K20+K23</f>
        <v>0</v>
      </c>
      <c r="L15" s="142"/>
      <c r="M15" s="52"/>
      <c r="P15" s="115">
        <v>10</v>
      </c>
    </row>
    <row r="16" spans="1:81" s="140" customFormat="1" ht="15" customHeight="1">
      <c r="C16" s="141"/>
      <c r="D16" s="106" t="s">
        <v>371</v>
      </c>
      <c r="E16" s="67" t="s">
        <v>210</v>
      </c>
      <c r="F16" s="68">
        <v>20</v>
      </c>
      <c r="G16" s="143">
        <f t="shared" ref="G16:G136" si="0">SUM(H16:K16)</f>
        <v>0</v>
      </c>
      <c r="H16" s="122"/>
      <c r="I16" s="122"/>
      <c r="J16" s="122"/>
      <c r="K16" s="122"/>
      <c r="L16" s="142"/>
      <c r="M16" s="52"/>
      <c r="P16" s="115">
        <v>20</v>
      </c>
    </row>
    <row r="17" spans="3:16" s="140" customFormat="1" ht="12.75">
      <c r="C17" s="141"/>
      <c r="D17" s="106" t="s">
        <v>372</v>
      </c>
      <c r="E17" s="67" t="s">
        <v>499</v>
      </c>
      <c r="F17" s="68">
        <v>30</v>
      </c>
      <c r="G17" s="143">
        <f t="shared" si="0"/>
        <v>0</v>
      </c>
      <c r="H17" s="143">
        <f>SUM(H18:H19)</f>
        <v>0</v>
      </c>
      <c r="I17" s="143">
        <f>SUM(I18:I19)</f>
        <v>0</v>
      </c>
      <c r="J17" s="143">
        <f>SUM(J18:J19)</f>
        <v>0</v>
      </c>
      <c r="K17" s="143">
        <f>SUM(K18:K19)</f>
        <v>0</v>
      </c>
      <c r="L17" s="142"/>
      <c r="M17" s="52"/>
      <c r="P17" s="115">
        <v>30</v>
      </c>
    </row>
    <row r="18" spans="3:16" s="140" customFormat="1" ht="12.75">
      <c r="C18" s="141"/>
      <c r="D18" s="113" t="s">
        <v>480</v>
      </c>
      <c r="E18" s="144"/>
      <c r="F18" s="84" t="s">
        <v>336</v>
      </c>
      <c r="G18" s="145"/>
      <c r="H18" s="145"/>
      <c r="I18" s="145"/>
      <c r="J18" s="145"/>
      <c r="K18" s="145"/>
      <c r="L18" s="142"/>
      <c r="M18" s="52"/>
      <c r="P18" s="115"/>
    </row>
    <row r="19" spans="3:16" s="140" customFormat="1" ht="12.75">
      <c r="C19" s="141"/>
      <c r="D19" s="108"/>
      <c r="E19" s="104" t="s">
        <v>334</v>
      </c>
      <c r="F19" s="73"/>
      <c r="G19" s="73"/>
      <c r="H19" s="73"/>
      <c r="I19" s="73"/>
      <c r="J19" s="73"/>
      <c r="K19" s="74"/>
      <c r="L19" s="142"/>
      <c r="M19" s="52"/>
      <c r="P19" s="116"/>
    </row>
    <row r="20" spans="3:16" s="140" customFormat="1" ht="12.75">
      <c r="C20" s="141"/>
      <c r="D20" s="106" t="s">
        <v>373</v>
      </c>
      <c r="E20" s="67" t="s">
        <v>500</v>
      </c>
      <c r="F20" s="68" t="s">
        <v>211</v>
      </c>
      <c r="G20" s="143">
        <f t="shared" si="0"/>
        <v>0</v>
      </c>
      <c r="H20" s="143">
        <f>SUM(H21:H22)</f>
        <v>0</v>
      </c>
      <c r="I20" s="143">
        <f>SUM(I21:I22)</f>
        <v>0</v>
      </c>
      <c r="J20" s="143">
        <f>SUM(J21:J22)</f>
        <v>0</v>
      </c>
      <c r="K20" s="143">
        <f>SUM(K21:K22)</f>
        <v>0</v>
      </c>
      <c r="L20" s="142"/>
      <c r="M20" s="52"/>
      <c r="P20" s="116"/>
    </row>
    <row r="21" spans="3:16" s="140" customFormat="1" ht="12.75">
      <c r="C21" s="141"/>
      <c r="D21" s="113" t="s">
        <v>481</v>
      </c>
      <c r="E21" s="144"/>
      <c r="F21" s="84" t="s">
        <v>211</v>
      </c>
      <c r="G21" s="145"/>
      <c r="H21" s="145"/>
      <c r="I21" s="145"/>
      <c r="J21" s="145"/>
      <c r="K21" s="145"/>
      <c r="L21" s="142"/>
      <c r="M21" s="52"/>
      <c r="P21" s="115"/>
    </row>
    <row r="22" spans="3:16" s="140" customFormat="1" ht="12.75">
      <c r="C22" s="141"/>
      <c r="D22" s="108"/>
      <c r="E22" s="104" t="s">
        <v>334</v>
      </c>
      <c r="F22" s="73"/>
      <c r="G22" s="73"/>
      <c r="H22" s="73"/>
      <c r="I22" s="73"/>
      <c r="J22" s="73"/>
      <c r="K22" s="74"/>
      <c r="L22" s="142"/>
      <c r="M22" s="52"/>
      <c r="P22" s="116"/>
    </row>
    <row r="23" spans="3:16" s="140" customFormat="1" ht="12.75">
      <c r="C23" s="141"/>
      <c r="D23" s="106" t="s">
        <v>374</v>
      </c>
      <c r="E23" s="67" t="s">
        <v>501</v>
      </c>
      <c r="F23" s="68" t="s">
        <v>212</v>
      </c>
      <c r="G23" s="143">
        <f t="shared" si="0"/>
        <v>6299.723</v>
      </c>
      <c r="H23" s="143">
        <f>SUM(H24:H27)</f>
        <v>866.60599999999999</v>
      </c>
      <c r="I23" s="143">
        <f>SUM(I24:I27)</f>
        <v>4119.66</v>
      </c>
      <c r="J23" s="143">
        <f>SUM(J24:J27)</f>
        <v>1313.4569999999999</v>
      </c>
      <c r="K23" s="143">
        <f>SUM(K24:K27)</f>
        <v>0</v>
      </c>
      <c r="L23" s="142"/>
      <c r="M23" s="52"/>
      <c r="P23" s="115">
        <v>40</v>
      </c>
    </row>
    <row r="24" spans="3:16" s="140" customFormat="1" ht="12.75">
      <c r="C24" s="141"/>
      <c r="D24" s="113" t="s">
        <v>482</v>
      </c>
      <c r="E24" s="144"/>
      <c r="F24" s="84" t="s">
        <v>212</v>
      </c>
      <c r="G24" s="145"/>
      <c r="H24" s="145"/>
      <c r="I24" s="145"/>
      <c r="J24" s="145"/>
      <c r="K24" s="145"/>
      <c r="L24" s="142"/>
      <c r="M24" s="52"/>
      <c r="P24" s="115"/>
    </row>
    <row r="25" spans="3:16" s="140" customFormat="1" ht="14.25">
      <c r="C25" s="121" t="s">
        <v>0</v>
      </c>
      <c r="D25" s="146" t="s">
        <v>1874</v>
      </c>
      <c r="E25" s="82" t="s">
        <v>2047</v>
      </c>
      <c r="F25" s="79">
        <v>431</v>
      </c>
      <c r="G25" s="147">
        <f>SUM(H25:K25)</f>
        <v>5380.4319999999998</v>
      </c>
      <c r="H25" s="148">
        <v>866.60599999999999</v>
      </c>
      <c r="I25" s="148">
        <v>4119.66</v>
      </c>
      <c r="J25" s="148">
        <v>394.166</v>
      </c>
      <c r="K25" s="149"/>
      <c r="L25" s="142"/>
      <c r="M25" s="85" t="s">
        <v>1842</v>
      </c>
      <c r="N25" s="86" t="s">
        <v>1438</v>
      </c>
      <c r="O25" s="86" t="s">
        <v>1841</v>
      </c>
    </row>
    <row r="26" spans="3:16" s="140" customFormat="1" ht="14.25">
      <c r="C26" s="121" t="s">
        <v>0</v>
      </c>
      <c r="D26" s="146" t="s">
        <v>2072</v>
      </c>
      <c r="E26" s="82" t="s">
        <v>1467</v>
      </c>
      <c r="F26" s="79">
        <v>432</v>
      </c>
      <c r="G26" s="147">
        <f>SUM(H26:K26)</f>
        <v>919.29099999999994</v>
      </c>
      <c r="H26" s="148"/>
      <c r="I26" s="148"/>
      <c r="J26" s="148">
        <f>324.756+594.535</f>
        <v>919.29099999999994</v>
      </c>
      <c r="K26" s="149"/>
      <c r="L26" s="142"/>
      <c r="M26" s="85" t="s">
        <v>1468</v>
      </c>
      <c r="N26" s="86" t="s">
        <v>1438</v>
      </c>
      <c r="O26" s="86" t="s">
        <v>1466</v>
      </c>
    </row>
    <row r="27" spans="3:16" s="140" customFormat="1" ht="12.75">
      <c r="C27" s="141"/>
      <c r="D27" s="108"/>
      <c r="E27" s="104" t="s">
        <v>334</v>
      </c>
      <c r="F27" s="73"/>
      <c r="G27" s="73"/>
      <c r="H27" s="73"/>
      <c r="I27" s="73"/>
      <c r="J27" s="73"/>
      <c r="K27" s="74"/>
      <c r="L27" s="142"/>
      <c r="M27" s="52"/>
      <c r="P27" s="115"/>
    </row>
    <row r="28" spans="3:16" s="140" customFormat="1" ht="12.75">
      <c r="C28" s="141"/>
      <c r="D28" s="106" t="s">
        <v>375</v>
      </c>
      <c r="E28" s="88" t="s">
        <v>157</v>
      </c>
      <c r="F28" s="68" t="s">
        <v>213</v>
      </c>
      <c r="G28" s="143">
        <f t="shared" si="0"/>
        <v>2657.530999999999</v>
      </c>
      <c r="H28" s="143">
        <f>H30+H31+H32</f>
        <v>0</v>
      </c>
      <c r="I28" s="143">
        <f>I29+I31+I32</f>
        <v>0</v>
      </c>
      <c r="J28" s="143">
        <f>J29+J30+J32</f>
        <v>1682.3259999999996</v>
      </c>
      <c r="K28" s="143">
        <f>K29+K30+K31</f>
        <v>975.20499999999947</v>
      </c>
      <c r="L28" s="142"/>
      <c r="M28" s="52"/>
      <c r="P28" s="115">
        <v>50</v>
      </c>
    </row>
    <row r="29" spans="3:16" s="140" customFormat="1" ht="12.75">
      <c r="C29" s="141"/>
      <c r="D29" s="106" t="s">
        <v>376</v>
      </c>
      <c r="E29" s="67" t="s">
        <v>134</v>
      </c>
      <c r="F29" s="68" t="s">
        <v>214</v>
      </c>
      <c r="G29" s="143">
        <f t="shared" si="0"/>
        <v>866.52300000000002</v>
      </c>
      <c r="H29" s="150"/>
      <c r="I29" s="122"/>
      <c r="J29" s="122">
        <f>H45</f>
        <v>866.52300000000002</v>
      </c>
      <c r="K29" s="122"/>
      <c r="L29" s="142"/>
      <c r="M29" s="52"/>
      <c r="P29" s="115">
        <v>60</v>
      </c>
    </row>
    <row r="30" spans="3:16" s="140" customFormat="1" ht="12.75">
      <c r="C30" s="141"/>
      <c r="D30" s="106" t="s">
        <v>377</v>
      </c>
      <c r="E30" s="67" t="s">
        <v>135</v>
      </c>
      <c r="F30" s="68" t="s">
        <v>215</v>
      </c>
      <c r="G30" s="143">
        <f t="shared" si="0"/>
        <v>815.80299999999966</v>
      </c>
      <c r="H30" s="122"/>
      <c r="I30" s="150"/>
      <c r="J30" s="122">
        <f>I25-I34-I48</f>
        <v>815.80299999999966</v>
      </c>
      <c r="K30" s="122"/>
      <c r="L30" s="142"/>
      <c r="M30" s="52"/>
      <c r="P30" s="115">
        <v>70</v>
      </c>
    </row>
    <row r="31" spans="3:16" s="140" customFormat="1" ht="12.75">
      <c r="C31" s="141"/>
      <c r="D31" s="106" t="s">
        <v>378</v>
      </c>
      <c r="E31" s="67" t="s">
        <v>136</v>
      </c>
      <c r="F31" s="68" t="s">
        <v>216</v>
      </c>
      <c r="G31" s="143">
        <f t="shared" si="0"/>
        <v>975.20499999999947</v>
      </c>
      <c r="H31" s="122"/>
      <c r="I31" s="122"/>
      <c r="J31" s="150"/>
      <c r="K31" s="122">
        <f>J23+J28+J17-J48-J34</f>
        <v>975.20499999999947</v>
      </c>
      <c r="L31" s="142"/>
      <c r="M31" s="52"/>
      <c r="P31" s="115">
        <v>80</v>
      </c>
    </row>
    <row r="32" spans="3:16" s="140" customFormat="1" ht="12.75">
      <c r="C32" s="141"/>
      <c r="D32" s="106" t="s">
        <v>379</v>
      </c>
      <c r="E32" s="67" t="s">
        <v>158</v>
      </c>
      <c r="F32" s="68" t="s">
        <v>217</v>
      </c>
      <c r="G32" s="143">
        <f t="shared" si="0"/>
        <v>0</v>
      </c>
      <c r="H32" s="122"/>
      <c r="I32" s="122"/>
      <c r="J32" s="122"/>
      <c r="K32" s="150"/>
      <c r="L32" s="142"/>
      <c r="M32" s="52"/>
      <c r="P32" s="115">
        <v>90</v>
      </c>
    </row>
    <row r="33" spans="3:16" s="140" customFormat="1" ht="12.75">
      <c r="C33" s="141"/>
      <c r="D33" s="106" t="s">
        <v>380</v>
      </c>
      <c r="E33" s="89" t="s">
        <v>161</v>
      </c>
      <c r="F33" s="68" t="s">
        <v>218</v>
      </c>
      <c r="G33" s="143">
        <f t="shared" si="0"/>
        <v>0</v>
      </c>
      <c r="H33" s="122"/>
      <c r="I33" s="122"/>
      <c r="J33" s="122"/>
      <c r="K33" s="122"/>
      <c r="L33" s="142"/>
      <c r="M33" s="52"/>
      <c r="P33" s="115"/>
    </row>
    <row r="34" spans="3:16" s="140" customFormat="1" ht="12.75">
      <c r="C34" s="141"/>
      <c r="D34" s="106" t="s">
        <v>381</v>
      </c>
      <c r="E34" s="88" t="s">
        <v>502</v>
      </c>
      <c r="F34" s="109" t="s">
        <v>219</v>
      </c>
      <c r="G34" s="143">
        <f t="shared" si="0"/>
        <v>6161.3980000000001</v>
      </c>
      <c r="H34" s="143">
        <f>H35+H37+H40+H44</f>
        <v>0</v>
      </c>
      <c r="I34" s="143">
        <f>I35+I37+I40+I44</f>
        <v>3233.82</v>
      </c>
      <c r="J34" s="143">
        <f>J35+J37+J40+J44</f>
        <v>1979.127</v>
      </c>
      <c r="K34" s="143">
        <f>K35+K37+K40+K44</f>
        <v>948.45100000000002</v>
      </c>
      <c r="L34" s="142"/>
      <c r="M34" s="52"/>
      <c r="P34" s="115">
        <v>100</v>
      </c>
    </row>
    <row r="35" spans="3:16" s="140" customFormat="1" ht="22.5">
      <c r="C35" s="141"/>
      <c r="D35" s="106" t="s">
        <v>382</v>
      </c>
      <c r="E35" s="67" t="s">
        <v>503</v>
      </c>
      <c r="F35" s="68" t="s">
        <v>220</v>
      </c>
      <c r="G35" s="143">
        <f t="shared" si="0"/>
        <v>0</v>
      </c>
      <c r="H35" s="122"/>
      <c r="I35" s="122"/>
      <c r="J35" s="122"/>
      <c r="K35" s="122"/>
      <c r="L35" s="142"/>
      <c r="M35" s="52"/>
      <c r="P35" s="115"/>
    </row>
    <row r="36" spans="3:16" s="140" customFormat="1" ht="12.75">
      <c r="C36" s="141"/>
      <c r="D36" s="106" t="s">
        <v>486</v>
      </c>
      <c r="E36" s="69" t="s">
        <v>476</v>
      </c>
      <c r="F36" s="68" t="s">
        <v>223</v>
      </c>
      <c r="G36" s="143">
        <f t="shared" si="0"/>
        <v>0</v>
      </c>
      <c r="H36" s="122"/>
      <c r="I36" s="122"/>
      <c r="J36" s="122"/>
      <c r="K36" s="122"/>
      <c r="L36" s="142"/>
      <c r="M36" s="52"/>
      <c r="P36" s="115"/>
    </row>
    <row r="37" spans="3:16" s="140" customFormat="1" ht="12.75">
      <c r="C37" s="141"/>
      <c r="D37" s="106" t="s">
        <v>383</v>
      </c>
      <c r="E37" s="67" t="s">
        <v>221</v>
      </c>
      <c r="F37" s="68" t="s">
        <v>224</v>
      </c>
      <c r="G37" s="143">
        <f t="shared" si="0"/>
        <v>3615.1379999999999</v>
      </c>
      <c r="H37" s="122">
        <v>0</v>
      </c>
      <c r="I37" s="122">
        <f>3233.82-I42</f>
        <v>687.56</v>
      </c>
      <c r="J37" s="122">
        <f>1392.328+586.799</f>
        <v>1979.127</v>
      </c>
      <c r="K37" s="122">
        <v>948.45100000000002</v>
      </c>
      <c r="L37" s="142"/>
      <c r="M37" s="52"/>
      <c r="P37" s="115"/>
    </row>
    <row r="38" spans="3:16" s="140" customFormat="1" ht="12.75">
      <c r="C38" s="141"/>
      <c r="D38" s="106" t="s">
        <v>487</v>
      </c>
      <c r="E38" s="69" t="s">
        <v>504</v>
      </c>
      <c r="F38" s="68" t="s">
        <v>225</v>
      </c>
      <c r="G38" s="143">
        <f t="shared" si="0"/>
        <v>0</v>
      </c>
      <c r="H38" s="122"/>
      <c r="I38" s="122"/>
      <c r="J38" s="122"/>
      <c r="K38" s="122"/>
      <c r="L38" s="142"/>
      <c r="M38" s="52"/>
      <c r="P38" s="115"/>
    </row>
    <row r="39" spans="3:16" s="140" customFormat="1" ht="12.75">
      <c r="C39" s="141"/>
      <c r="D39" s="106" t="s">
        <v>488</v>
      </c>
      <c r="E39" s="71" t="s">
        <v>476</v>
      </c>
      <c r="F39" s="68" t="s">
        <v>226</v>
      </c>
      <c r="G39" s="143">
        <f t="shared" si="0"/>
        <v>0</v>
      </c>
      <c r="H39" s="122"/>
      <c r="I39" s="122"/>
      <c r="J39" s="122"/>
      <c r="K39" s="122"/>
      <c r="L39" s="142"/>
      <c r="M39" s="52"/>
      <c r="P39" s="115"/>
    </row>
    <row r="40" spans="3:16" s="140" customFormat="1" ht="12.75">
      <c r="C40" s="141"/>
      <c r="D40" s="106" t="s">
        <v>384</v>
      </c>
      <c r="E40" s="67" t="s">
        <v>505</v>
      </c>
      <c r="F40" s="68" t="s">
        <v>227</v>
      </c>
      <c r="G40" s="143">
        <f t="shared" si="0"/>
        <v>2546.2600000000002</v>
      </c>
      <c r="H40" s="143">
        <f>SUM(H41:H43)</f>
        <v>0</v>
      </c>
      <c r="I40" s="143">
        <f>SUM(I41:I43)</f>
        <v>2546.2600000000002</v>
      </c>
      <c r="J40" s="143">
        <f>SUM(J41:J43)</f>
        <v>0</v>
      </c>
      <c r="K40" s="143">
        <f>SUM(K41:K43)</f>
        <v>0</v>
      </c>
      <c r="L40" s="142"/>
      <c r="M40" s="52"/>
      <c r="P40" s="115"/>
    </row>
    <row r="41" spans="3:16" s="140" customFormat="1" ht="12.75">
      <c r="C41" s="141"/>
      <c r="D41" s="113" t="s">
        <v>496</v>
      </c>
      <c r="E41" s="144"/>
      <c r="F41" s="84" t="s">
        <v>227</v>
      </c>
      <c r="G41" s="145"/>
      <c r="H41" s="145"/>
      <c r="I41" s="145"/>
      <c r="J41" s="145"/>
      <c r="K41" s="145"/>
      <c r="L41" s="142"/>
      <c r="M41" s="52"/>
      <c r="P41" s="115"/>
    </row>
    <row r="42" spans="3:16" s="140" customFormat="1" ht="14.25">
      <c r="C42" s="121" t="s">
        <v>0</v>
      </c>
      <c r="D42" s="146" t="s">
        <v>1875</v>
      </c>
      <c r="E42" s="82" t="s">
        <v>1467</v>
      </c>
      <c r="F42" s="79">
        <v>751</v>
      </c>
      <c r="G42" s="147">
        <f>SUM(H42:K42)</f>
        <v>2546.2600000000002</v>
      </c>
      <c r="H42" s="148"/>
      <c r="I42" s="148">
        <v>2546.2600000000002</v>
      </c>
      <c r="J42" s="148"/>
      <c r="K42" s="149"/>
      <c r="L42" s="142"/>
      <c r="M42" s="85" t="s">
        <v>1468</v>
      </c>
      <c r="N42" s="86" t="s">
        <v>1451</v>
      </c>
      <c r="O42" s="86" t="s">
        <v>1466</v>
      </c>
    </row>
    <row r="43" spans="3:16" s="140" customFormat="1" ht="12.75">
      <c r="C43" s="141"/>
      <c r="D43" s="76"/>
      <c r="E43" s="104" t="s">
        <v>334</v>
      </c>
      <c r="F43" s="73"/>
      <c r="G43" s="73"/>
      <c r="H43" s="73"/>
      <c r="I43" s="73"/>
      <c r="J43" s="73"/>
      <c r="K43" s="74"/>
      <c r="L43" s="142"/>
      <c r="M43" s="52"/>
      <c r="P43" s="115"/>
    </row>
    <row r="44" spans="3:16" s="140" customFormat="1" ht="12.75">
      <c r="C44" s="141"/>
      <c r="D44" s="106" t="s">
        <v>385</v>
      </c>
      <c r="E44" s="105" t="s">
        <v>477</v>
      </c>
      <c r="F44" s="68" t="s">
        <v>228</v>
      </c>
      <c r="G44" s="143">
        <f t="shared" si="0"/>
        <v>0</v>
      </c>
      <c r="H44" s="122"/>
      <c r="I44" s="122"/>
      <c r="J44" s="122"/>
      <c r="K44" s="122"/>
      <c r="L44" s="142"/>
      <c r="M44" s="52"/>
      <c r="P44" s="115">
        <v>120</v>
      </c>
    </row>
    <row r="45" spans="3:16" s="140" customFormat="1" ht="12.75">
      <c r="C45" s="141"/>
      <c r="D45" s="106" t="s">
        <v>386</v>
      </c>
      <c r="E45" s="88" t="s">
        <v>159</v>
      </c>
      <c r="F45" s="68" t="s">
        <v>229</v>
      </c>
      <c r="G45" s="143">
        <f t="shared" si="0"/>
        <v>2657.5309999999986</v>
      </c>
      <c r="H45" s="122">
        <f>H25-H48-H34</f>
        <v>866.52300000000002</v>
      </c>
      <c r="I45" s="122">
        <f>I15-I34-I48</f>
        <v>815.80299999999966</v>
      </c>
      <c r="J45" s="122">
        <f>J23+J28+J17-J34-J48</f>
        <v>975.20499999999947</v>
      </c>
      <c r="K45" s="122">
        <f>K31-K34-K48</f>
        <v>-5.5067062021407764E-13</v>
      </c>
      <c r="L45" s="142"/>
      <c r="M45" s="52"/>
      <c r="P45" s="115">
        <v>150</v>
      </c>
    </row>
    <row r="46" spans="3:16" s="140" customFormat="1" ht="12.75">
      <c r="C46" s="141"/>
      <c r="D46" s="106" t="s">
        <v>387</v>
      </c>
      <c r="E46" s="88" t="s">
        <v>160</v>
      </c>
      <c r="F46" s="68" t="s">
        <v>230</v>
      </c>
      <c r="G46" s="143">
        <f t="shared" si="0"/>
        <v>0</v>
      </c>
      <c r="H46" s="122"/>
      <c r="I46" s="122"/>
      <c r="J46" s="122"/>
      <c r="K46" s="122"/>
      <c r="L46" s="142"/>
      <c r="M46" s="52"/>
      <c r="P46" s="115">
        <v>160</v>
      </c>
    </row>
    <row r="47" spans="3:16" s="140" customFormat="1" ht="12.75">
      <c r="C47" s="141"/>
      <c r="D47" s="106" t="s">
        <v>388</v>
      </c>
      <c r="E47" s="88" t="s">
        <v>162</v>
      </c>
      <c r="F47" s="68" t="s">
        <v>231</v>
      </c>
      <c r="G47" s="143">
        <f t="shared" si="0"/>
        <v>0</v>
      </c>
      <c r="H47" s="122"/>
      <c r="I47" s="122"/>
      <c r="J47" s="122"/>
      <c r="K47" s="122"/>
      <c r="L47" s="142"/>
      <c r="M47" s="52"/>
      <c r="P47" s="115">
        <v>180</v>
      </c>
    </row>
    <row r="48" spans="3:16" s="140" customFormat="1" ht="12.75">
      <c r="C48" s="141"/>
      <c r="D48" s="106" t="s">
        <v>389</v>
      </c>
      <c r="E48" s="88" t="s">
        <v>473</v>
      </c>
      <c r="F48" s="68" t="s">
        <v>232</v>
      </c>
      <c r="G48" s="143">
        <f t="shared" si="0"/>
        <v>138.32499999999999</v>
      </c>
      <c r="H48" s="122">
        <v>8.3000000000000004E-2</v>
      </c>
      <c r="I48" s="122">
        <v>70.037000000000006</v>
      </c>
      <c r="J48" s="122">
        <f>33.715+7.736</f>
        <v>41.451000000000001</v>
      </c>
      <c r="K48" s="122">
        <v>26.754000000000001</v>
      </c>
      <c r="L48" s="142"/>
      <c r="M48" s="52"/>
      <c r="P48" s="115">
        <v>190</v>
      </c>
    </row>
    <row r="49" spans="3:16" s="140" customFormat="1" ht="12.75">
      <c r="C49" s="141"/>
      <c r="D49" s="106" t="s">
        <v>390</v>
      </c>
      <c r="E49" s="67" t="s">
        <v>474</v>
      </c>
      <c r="F49" s="68" t="s">
        <v>234</v>
      </c>
      <c r="G49" s="143">
        <f t="shared" si="0"/>
        <v>0</v>
      </c>
      <c r="H49" s="122"/>
      <c r="I49" s="122"/>
      <c r="J49" s="122"/>
      <c r="K49" s="122"/>
      <c r="L49" s="142"/>
      <c r="M49" s="52"/>
      <c r="P49" s="115">
        <v>200</v>
      </c>
    </row>
    <row r="50" spans="3:16" s="140" customFormat="1" ht="22.5">
      <c r="C50" s="141"/>
      <c r="D50" s="106" t="s">
        <v>475</v>
      </c>
      <c r="E50" s="88" t="s">
        <v>417</v>
      </c>
      <c r="F50" s="68" t="s">
        <v>235</v>
      </c>
      <c r="G50" s="143">
        <f t="shared" si="0"/>
        <v>150.86699999999999</v>
      </c>
      <c r="H50" s="122"/>
      <c r="I50" s="122">
        <f>150.867*0.25776</f>
        <v>38.887477919999995</v>
      </c>
      <c r="J50" s="122">
        <f>150.867*0.37244</f>
        <v>56.188905479999995</v>
      </c>
      <c r="K50" s="122">
        <f>150.867*0.3698</f>
        <v>55.7906166</v>
      </c>
      <c r="L50" s="142"/>
      <c r="M50" s="52"/>
      <c r="P50" s="116"/>
    </row>
    <row r="51" spans="3:16" s="140" customFormat="1" ht="33.75">
      <c r="C51" s="141"/>
      <c r="D51" s="106" t="s">
        <v>391</v>
      </c>
      <c r="E51" s="89" t="s">
        <v>236</v>
      </c>
      <c r="F51" s="68" t="s">
        <v>237</v>
      </c>
      <c r="G51" s="143">
        <f t="shared" si="0"/>
        <v>-12.541999999999984</v>
      </c>
      <c r="H51" s="143">
        <f>H48-H50</f>
        <v>8.3000000000000004E-2</v>
      </c>
      <c r="I51" s="143">
        <f>I48-I50</f>
        <v>31.149522080000011</v>
      </c>
      <c r="J51" s="143">
        <f>J48-J50</f>
        <v>-14.737905479999995</v>
      </c>
      <c r="K51" s="143">
        <f>K48-K50</f>
        <v>-29.036616599999999</v>
      </c>
      <c r="L51" s="142"/>
      <c r="M51" s="52"/>
      <c r="P51" s="116"/>
    </row>
    <row r="52" spans="3:16" s="140" customFormat="1" ht="12.75">
      <c r="C52" s="141"/>
      <c r="D52" s="106" t="s">
        <v>392</v>
      </c>
      <c r="E52" s="88" t="s">
        <v>163</v>
      </c>
      <c r="F52" s="68" t="s">
        <v>238</v>
      </c>
      <c r="G52" s="143">
        <f t="shared" si="0"/>
        <v>0</v>
      </c>
      <c r="H52" s="143">
        <f>(H15+H28+H33)-(H34+H45+H46+H47+H48)</f>
        <v>0</v>
      </c>
      <c r="I52" s="143">
        <f>(I15+I28+I33)-(I34+I45+I46+I47+I48)</f>
        <v>0</v>
      </c>
      <c r="J52" s="143">
        <f>(J15+J28+J33)-(J34+J45+J46+J47+J48)</f>
        <v>0</v>
      </c>
      <c r="K52" s="143">
        <f>(K15+K28+K33)-(K34+K45+K46+K47+K48)</f>
        <v>0</v>
      </c>
      <c r="L52" s="142"/>
      <c r="M52" s="52"/>
      <c r="P52" s="115">
        <v>210</v>
      </c>
    </row>
    <row r="53" spans="3:16" s="140" customFormat="1" ht="12.75">
      <c r="C53" s="141"/>
      <c r="D53" s="174" t="s">
        <v>201</v>
      </c>
      <c r="E53" s="175"/>
      <c r="F53" s="175"/>
      <c r="G53" s="175"/>
      <c r="H53" s="175"/>
      <c r="I53" s="175"/>
      <c r="J53" s="175"/>
      <c r="K53" s="176"/>
      <c r="L53" s="142"/>
      <c r="M53" s="52"/>
      <c r="P53" s="116"/>
    </row>
    <row r="54" spans="3:16" s="140" customFormat="1" ht="12.75">
      <c r="C54" s="141"/>
      <c r="D54" s="106" t="s">
        <v>393</v>
      </c>
      <c r="E54" s="88" t="s">
        <v>498</v>
      </c>
      <c r="F54" s="68" t="s">
        <v>239</v>
      </c>
      <c r="G54" s="143">
        <f t="shared" si="0"/>
        <v>8.4673696236559142</v>
      </c>
      <c r="H54" s="143">
        <f>H55+H56+H59+H62</f>
        <v>1.1647930107526883</v>
      </c>
      <c r="I54" s="143">
        <f>I55+I56+I59+I62</f>
        <v>5.5371774193548386</v>
      </c>
      <c r="J54" s="143">
        <f>J55+J56+J59+J62</f>
        <v>1.765399193548387</v>
      </c>
      <c r="K54" s="143">
        <f>K55+K56+K59+K62</f>
        <v>0</v>
      </c>
      <c r="L54" s="142"/>
      <c r="M54" s="52"/>
      <c r="P54" s="115">
        <v>300</v>
      </c>
    </row>
    <row r="55" spans="3:16" s="140" customFormat="1" ht="12.75">
      <c r="C55" s="141"/>
      <c r="D55" s="106" t="s">
        <v>394</v>
      </c>
      <c r="E55" s="67" t="s">
        <v>210</v>
      </c>
      <c r="F55" s="68" t="s">
        <v>240</v>
      </c>
      <c r="G55" s="143">
        <f t="shared" si="0"/>
        <v>0</v>
      </c>
      <c r="H55" s="122"/>
      <c r="I55" s="122"/>
      <c r="J55" s="122"/>
      <c r="K55" s="122"/>
      <c r="L55" s="142"/>
      <c r="M55" s="52"/>
      <c r="P55" s="115">
        <v>310</v>
      </c>
    </row>
    <row r="56" spans="3:16" s="140" customFormat="1" ht="12.75">
      <c r="C56" s="141"/>
      <c r="D56" s="106" t="s">
        <v>395</v>
      </c>
      <c r="E56" s="67" t="s">
        <v>499</v>
      </c>
      <c r="F56" s="68" t="s">
        <v>241</v>
      </c>
      <c r="G56" s="143">
        <f t="shared" si="0"/>
        <v>0</v>
      </c>
      <c r="H56" s="143">
        <f>SUM(H57:H58)</f>
        <v>0</v>
      </c>
      <c r="I56" s="143">
        <f>SUM(I57:I58)</f>
        <v>0</v>
      </c>
      <c r="J56" s="143">
        <f>SUM(J57:J58)</f>
        <v>0</v>
      </c>
      <c r="K56" s="143">
        <f>SUM(K57:K58)</f>
        <v>0</v>
      </c>
      <c r="L56" s="142"/>
      <c r="M56" s="52"/>
      <c r="P56" s="115">
        <v>320</v>
      </c>
    </row>
    <row r="57" spans="3:16" s="140" customFormat="1" ht="12.75">
      <c r="C57" s="141"/>
      <c r="D57" s="113" t="s">
        <v>483</v>
      </c>
      <c r="E57" s="144"/>
      <c r="F57" s="84" t="s">
        <v>241</v>
      </c>
      <c r="G57" s="145"/>
      <c r="H57" s="145"/>
      <c r="I57" s="145"/>
      <c r="J57" s="145"/>
      <c r="K57" s="145"/>
      <c r="L57" s="142"/>
      <c r="M57" s="52"/>
      <c r="P57" s="115"/>
    </row>
    <row r="58" spans="3:16" s="140" customFormat="1" ht="12.75">
      <c r="C58" s="141"/>
      <c r="D58" s="108"/>
      <c r="E58" s="104" t="s">
        <v>334</v>
      </c>
      <c r="F58" s="73"/>
      <c r="G58" s="73"/>
      <c r="H58" s="73"/>
      <c r="I58" s="73"/>
      <c r="J58" s="73"/>
      <c r="K58" s="74"/>
      <c r="L58" s="142"/>
      <c r="M58" s="52"/>
      <c r="P58" s="115"/>
    </row>
    <row r="59" spans="3:16" s="140" customFormat="1" ht="12.75">
      <c r="C59" s="141"/>
      <c r="D59" s="106" t="s">
        <v>396</v>
      </c>
      <c r="E59" s="67" t="s">
        <v>500</v>
      </c>
      <c r="F59" s="68" t="s">
        <v>242</v>
      </c>
      <c r="G59" s="143">
        <f t="shared" si="0"/>
        <v>0</v>
      </c>
      <c r="H59" s="143">
        <f>SUM(H60:H61)</f>
        <v>0</v>
      </c>
      <c r="I59" s="143">
        <f>SUM(I60:I61)</f>
        <v>0</v>
      </c>
      <c r="J59" s="143">
        <f>SUM(J60:J61)</f>
        <v>0</v>
      </c>
      <c r="K59" s="143">
        <f>SUM(K60:K61)</f>
        <v>0</v>
      </c>
      <c r="L59" s="142"/>
      <c r="M59" s="52"/>
      <c r="P59" s="115"/>
    </row>
    <row r="60" spans="3:16" s="140" customFormat="1" ht="12.75">
      <c r="C60" s="141"/>
      <c r="D60" s="113" t="s">
        <v>484</v>
      </c>
      <c r="E60" s="144"/>
      <c r="F60" s="84" t="s">
        <v>242</v>
      </c>
      <c r="G60" s="145"/>
      <c r="H60" s="145"/>
      <c r="I60" s="145"/>
      <c r="J60" s="145"/>
      <c r="K60" s="145"/>
      <c r="L60" s="142"/>
      <c r="M60" s="52"/>
      <c r="P60" s="115"/>
    </row>
    <row r="61" spans="3:16" s="140" customFormat="1" ht="12.75">
      <c r="C61" s="141"/>
      <c r="D61" s="108"/>
      <c r="E61" s="104" t="s">
        <v>334</v>
      </c>
      <c r="F61" s="73"/>
      <c r="G61" s="73"/>
      <c r="H61" s="73"/>
      <c r="I61" s="73"/>
      <c r="J61" s="73"/>
      <c r="K61" s="74"/>
      <c r="L61" s="142"/>
      <c r="M61" s="52"/>
      <c r="P61" s="115"/>
    </row>
    <row r="62" spans="3:16" s="140" customFormat="1" ht="12.75">
      <c r="C62" s="141"/>
      <c r="D62" s="106" t="s">
        <v>397</v>
      </c>
      <c r="E62" s="67" t="s">
        <v>501</v>
      </c>
      <c r="F62" s="68" t="s">
        <v>243</v>
      </c>
      <c r="G62" s="143">
        <f t="shared" si="0"/>
        <v>8.4673696236559142</v>
      </c>
      <c r="H62" s="143">
        <f>SUM(H63:H66)</f>
        <v>1.1647930107526883</v>
      </c>
      <c r="I62" s="143">
        <f>SUM(I63:I66)</f>
        <v>5.5371774193548386</v>
      </c>
      <c r="J62" s="143">
        <f>SUM(J63:J66)</f>
        <v>1.765399193548387</v>
      </c>
      <c r="K62" s="143">
        <f>SUM(K63:K66)</f>
        <v>0</v>
      </c>
      <c r="L62" s="142"/>
      <c r="M62" s="52"/>
      <c r="P62" s="115">
        <v>330</v>
      </c>
    </row>
    <row r="63" spans="3:16" s="140" customFormat="1" ht="12.75">
      <c r="C63" s="141"/>
      <c r="D63" s="113" t="s">
        <v>485</v>
      </c>
      <c r="E63" s="144"/>
      <c r="F63" s="84" t="s">
        <v>243</v>
      </c>
      <c r="G63" s="145"/>
      <c r="H63" s="145"/>
      <c r="I63" s="145"/>
      <c r="J63" s="145"/>
      <c r="K63" s="145"/>
      <c r="L63" s="142"/>
      <c r="M63" s="52"/>
      <c r="P63" s="115"/>
    </row>
    <row r="64" spans="3:16" s="140" customFormat="1" ht="14.25">
      <c r="C64" s="121" t="s">
        <v>0</v>
      </c>
      <c r="D64" s="146" t="s">
        <v>1876</v>
      </c>
      <c r="E64" s="82" t="s">
        <v>2047</v>
      </c>
      <c r="F64" s="79">
        <v>1461</v>
      </c>
      <c r="G64" s="147">
        <f>SUM(H64:K64)</f>
        <v>7.2317634408602149</v>
      </c>
      <c r="H64" s="148">
        <f>H25/744</f>
        <v>1.1647930107526883</v>
      </c>
      <c r="I64" s="148">
        <f>I25/744</f>
        <v>5.5371774193548386</v>
      </c>
      <c r="J64" s="148">
        <f>J25/744</f>
        <v>0.52979301075268814</v>
      </c>
      <c r="K64" s="148"/>
      <c r="L64" s="142"/>
      <c r="M64" s="85" t="s">
        <v>1842</v>
      </c>
      <c r="N64" s="86" t="s">
        <v>1438</v>
      </c>
      <c r="O64" s="86" t="s">
        <v>1841</v>
      </c>
    </row>
    <row r="65" spans="3:16" s="140" customFormat="1" ht="14.25">
      <c r="C65" s="121" t="s">
        <v>0</v>
      </c>
      <c r="D65" s="146" t="s">
        <v>2073</v>
      </c>
      <c r="E65" s="82" t="s">
        <v>1467</v>
      </c>
      <c r="F65" s="79">
        <v>1462</v>
      </c>
      <c r="G65" s="147">
        <f>SUM(H65:K65)</f>
        <v>1.2356061827956988</v>
      </c>
      <c r="H65" s="148"/>
      <c r="I65" s="148"/>
      <c r="J65" s="148">
        <f>J26/744</f>
        <v>1.2356061827956988</v>
      </c>
      <c r="K65" s="149"/>
      <c r="L65" s="142"/>
      <c r="M65" s="85" t="s">
        <v>1468</v>
      </c>
      <c r="N65" s="86" t="s">
        <v>1438</v>
      </c>
      <c r="O65" s="86" t="s">
        <v>1466</v>
      </c>
    </row>
    <row r="66" spans="3:16" s="140" customFormat="1" ht="12.75">
      <c r="C66" s="141"/>
      <c r="D66" s="108"/>
      <c r="E66" s="104" t="s">
        <v>334</v>
      </c>
      <c r="F66" s="73"/>
      <c r="G66" s="73"/>
      <c r="H66" s="73"/>
      <c r="I66" s="73"/>
      <c r="J66" s="73"/>
      <c r="K66" s="74"/>
      <c r="L66" s="142"/>
      <c r="M66" s="52"/>
      <c r="P66" s="115"/>
    </row>
    <row r="67" spans="3:16" s="140" customFormat="1" ht="12.75">
      <c r="C67" s="141"/>
      <c r="D67" s="106" t="s">
        <v>398</v>
      </c>
      <c r="E67" s="88" t="s">
        <v>157</v>
      </c>
      <c r="F67" s="68" t="s">
        <v>244</v>
      </c>
      <c r="G67" s="143">
        <f t="shared" si="0"/>
        <v>3.5719502688172029</v>
      </c>
      <c r="H67" s="143">
        <f>H69+H70+H71</f>
        <v>0</v>
      </c>
      <c r="I67" s="143">
        <f>I68+I70+I71</f>
        <v>0</v>
      </c>
      <c r="J67" s="143">
        <f>J68+J69+J71</f>
        <v>2.261190860215053</v>
      </c>
      <c r="K67" s="143">
        <f>K68+K69+K70</f>
        <v>1.3107594086021499</v>
      </c>
      <c r="L67" s="142"/>
      <c r="M67" s="52"/>
      <c r="P67" s="115">
        <v>340</v>
      </c>
    </row>
    <row r="68" spans="3:16" s="140" customFormat="1" ht="12.75">
      <c r="C68" s="141"/>
      <c r="D68" s="106" t="s">
        <v>399</v>
      </c>
      <c r="E68" s="67" t="s">
        <v>134</v>
      </c>
      <c r="F68" s="68" t="s">
        <v>245</v>
      </c>
      <c r="G68" s="143">
        <f t="shared" si="0"/>
        <v>1.1646814516129032</v>
      </c>
      <c r="H68" s="150"/>
      <c r="I68" s="122"/>
      <c r="J68" s="122">
        <f>J29/744</f>
        <v>1.1646814516129032</v>
      </c>
      <c r="K68" s="122"/>
      <c r="L68" s="142"/>
      <c r="M68" s="52"/>
      <c r="P68" s="115">
        <v>350</v>
      </c>
    </row>
    <row r="69" spans="3:16" s="140" customFormat="1" ht="12.75">
      <c r="C69" s="141"/>
      <c r="D69" s="106" t="s">
        <v>400</v>
      </c>
      <c r="E69" s="67" t="s">
        <v>135</v>
      </c>
      <c r="F69" s="68" t="s">
        <v>246</v>
      </c>
      <c r="G69" s="143">
        <f t="shared" si="0"/>
        <v>1.0965094086021501</v>
      </c>
      <c r="H69" s="122"/>
      <c r="I69" s="151"/>
      <c r="J69" s="122">
        <f>J30/744</f>
        <v>1.0965094086021501</v>
      </c>
      <c r="K69" s="122"/>
      <c r="L69" s="142"/>
      <c r="M69" s="52"/>
      <c r="P69" s="115">
        <v>360</v>
      </c>
    </row>
    <row r="70" spans="3:16" s="140" customFormat="1" ht="12.75">
      <c r="C70" s="141"/>
      <c r="D70" s="106" t="s">
        <v>401</v>
      </c>
      <c r="E70" s="67" t="s">
        <v>136</v>
      </c>
      <c r="F70" s="68" t="s">
        <v>247</v>
      </c>
      <c r="G70" s="143">
        <f t="shared" si="0"/>
        <v>1.3107594086021499</v>
      </c>
      <c r="H70" s="122"/>
      <c r="I70" s="122"/>
      <c r="J70" s="150"/>
      <c r="K70" s="122">
        <f>K31/744</f>
        <v>1.3107594086021499</v>
      </c>
      <c r="L70" s="142"/>
      <c r="M70" s="52"/>
      <c r="P70" s="115">
        <v>370</v>
      </c>
    </row>
    <row r="71" spans="3:16" s="140" customFormat="1" ht="12.75">
      <c r="C71" s="141"/>
      <c r="D71" s="106" t="s">
        <v>402</v>
      </c>
      <c r="E71" s="67" t="s">
        <v>158</v>
      </c>
      <c r="F71" s="68" t="s">
        <v>248</v>
      </c>
      <c r="G71" s="143">
        <f t="shared" si="0"/>
        <v>0</v>
      </c>
      <c r="H71" s="122"/>
      <c r="I71" s="122"/>
      <c r="J71" s="122"/>
      <c r="K71" s="150"/>
      <c r="L71" s="142"/>
      <c r="M71" s="52"/>
      <c r="P71" s="115">
        <v>380</v>
      </c>
    </row>
    <row r="72" spans="3:16" s="140" customFormat="1" ht="12.75">
      <c r="C72" s="141"/>
      <c r="D72" s="106" t="s">
        <v>403</v>
      </c>
      <c r="E72" s="89" t="s">
        <v>161</v>
      </c>
      <c r="F72" s="68" t="s">
        <v>249</v>
      </c>
      <c r="G72" s="143">
        <f t="shared" si="0"/>
        <v>0</v>
      </c>
      <c r="H72" s="122"/>
      <c r="I72" s="122"/>
      <c r="J72" s="122"/>
      <c r="K72" s="122"/>
      <c r="L72" s="142"/>
      <c r="M72" s="52"/>
      <c r="P72" s="115"/>
    </row>
    <row r="73" spans="3:16" s="140" customFormat="1" ht="12.75">
      <c r="C73" s="141"/>
      <c r="D73" s="106" t="s">
        <v>404</v>
      </c>
      <c r="E73" s="88" t="s">
        <v>502</v>
      </c>
      <c r="F73" s="109" t="s">
        <v>250</v>
      </c>
      <c r="G73" s="143">
        <f t="shared" si="0"/>
        <v>8.2814489247311833</v>
      </c>
      <c r="H73" s="143">
        <f>H74+H76+H79+H83</f>
        <v>0</v>
      </c>
      <c r="I73" s="143">
        <f>I74+I76+I79+I83</f>
        <v>4.3465322580645163</v>
      </c>
      <c r="J73" s="143">
        <f>J74+J76+J79+J83</f>
        <v>2.6601169354838707</v>
      </c>
      <c r="K73" s="143">
        <f>K74+K76+K79+K83</f>
        <v>1.2747997311827957</v>
      </c>
      <c r="L73" s="142"/>
      <c r="M73" s="52"/>
      <c r="P73" s="115">
        <v>390</v>
      </c>
    </row>
    <row r="74" spans="3:16" s="140" customFormat="1" ht="22.5">
      <c r="C74" s="141"/>
      <c r="D74" s="106" t="s">
        <v>405</v>
      </c>
      <c r="E74" s="67" t="s">
        <v>503</v>
      </c>
      <c r="F74" s="68" t="s">
        <v>251</v>
      </c>
      <c r="G74" s="143">
        <f t="shared" si="0"/>
        <v>0</v>
      </c>
      <c r="H74" s="122"/>
      <c r="I74" s="122"/>
      <c r="J74" s="122"/>
      <c r="K74" s="122"/>
      <c r="L74" s="142"/>
      <c r="M74" s="52"/>
      <c r="P74" s="115"/>
    </row>
    <row r="75" spans="3:16" s="140" customFormat="1" ht="12.75">
      <c r="C75" s="141"/>
      <c r="D75" s="106" t="s">
        <v>489</v>
      </c>
      <c r="E75" s="69" t="s">
        <v>476</v>
      </c>
      <c r="F75" s="68" t="s">
        <v>252</v>
      </c>
      <c r="G75" s="143">
        <f t="shared" si="0"/>
        <v>0</v>
      </c>
      <c r="H75" s="122"/>
      <c r="I75" s="122"/>
      <c r="J75" s="122"/>
      <c r="K75" s="122"/>
      <c r="L75" s="142"/>
      <c r="M75" s="52"/>
      <c r="P75" s="115"/>
    </row>
    <row r="76" spans="3:16" s="140" customFormat="1" ht="12.75">
      <c r="C76" s="141"/>
      <c r="D76" s="106" t="s">
        <v>406</v>
      </c>
      <c r="E76" s="67" t="s">
        <v>221</v>
      </c>
      <c r="F76" s="68" t="s">
        <v>253</v>
      </c>
      <c r="G76" s="143">
        <f t="shared" si="0"/>
        <v>4.8590564516129033</v>
      </c>
      <c r="H76" s="122">
        <f>H37/744</f>
        <v>0</v>
      </c>
      <c r="I76" s="122">
        <f>I37/744</f>
        <v>0.9241397849462365</v>
      </c>
      <c r="J76" s="122">
        <f>J37/744</f>
        <v>2.6601169354838707</v>
      </c>
      <c r="K76" s="122">
        <f>K37/744</f>
        <v>1.2747997311827957</v>
      </c>
      <c r="L76" s="142"/>
      <c r="M76" s="52"/>
      <c r="P76" s="115"/>
    </row>
    <row r="77" spans="3:16" s="140" customFormat="1" ht="12.75">
      <c r="C77" s="141"/>
      <c r="D77" s="106" t="s">
        <v>490</v>
      </c>
      <c r="E77" s="69" t="s">
        <v>504</v>
      </c>
      <c r="F77" s="68" t="s">
        <v>254</v>
      </c>
      <c r="G77" s="143">
        <f t="shared" si="0"/>
        <v>0</v>
      </c>
      <c r="H77" s="122"/>
      <c r="I77" s="122"/>
      <c r="J77" s="122"/>
      <c r="K77" s="122"/>
      <c r="L77" s="142"/>
      <c r="M77" s="52"/>
      <c r="P77" s="115"/>
    </row>
    <row r="78" spans="3:16" s="140" customFormat="1" ht="12.75">
      <c r="C78" s="141"/>
      <c r="D78" s="106" t="s">
        <v>491</v>
      </c>
      <c r="E78" s="71" t="s">
        <v>476</v>
      </c>
      <c r="F78" s="68" t="s">
        <v>255</v>
      </c>
      <c r="G78" s="143">
        <f t="shared" si="0"/>
        <v>0</v>
      </c>
      <c r="H78" s="122"/>
      <c r="I78" s="122"/>
      <c r="J78" s="122"/>
      <c r="K78" s="122"/>
      <c r="L78" s="142"/>
      <c r="M78" s="52"/>
      <c r="P78" s="115"/>
    </row>
    <row r="79" spans="3:16" s="140" customFormat="1" ht="12.75">
      <c r="C79" s="141"/>
      <c r="D79" s="106" t="s">
        <v>407</v>
      </c>
      <c r="E79" s="67" t="s">
        <v>505</v>
      </c>
      <c r="F79" s="68" t="s">
        <v>256</v>
      </c>
      <c r="G79" s="143">
        <f t="shared" si="0"/>
        <v>3.42239247311828</v>
      </c>
      <c r="H79" s="143">
        <f>SUM(H80:H82)</f>
        <v>0</v>
      </c>
      <c r="I79" s="143">
        <f>SUM(I80:I82)</f>
        <v>3.42239247311828</v>
      </c>
      <c r="J79" s="143">
        <f>SUM(J80:J82)</f>
        <v>0</v>
      </c>
      <c r="K79" s="143">
        <f>SUM(K80:K82)</f>
        <v>0</v>
      </c>
      <c r="L79" s="142"/>
      <c r="M79" s="52"/>
      <c r="P79" s="115"/>
    </row>
    <row r="80" spans="3:16" s="140" customFormat="1" ht="12.75">
      <c r="C80" s="141"/>
      <c r="D80" s="113" t="s">
        <v>497</v>
      </c>
      <c r="E80" s="144"/>
      <c r="F80" s="84" t="s">
        <v>256</v>
      </c>
      <c r="G80" s="145"/>
      <c r="H80" s="145"/>
      <c r="I80" s="145"/>
      <c r="J80" s="145"/>
      <c r="K80" s="145"/>
      <c r="L80" s="142"/>
      <c r="M80" s="52"/>
      <c r="P80" s="115"/>
    </row>
    <row r="81" spans="3:16" s="140" customFormat="1" ht="14.25">
      <c r="C81" s="121" t="s">
        <v>0</v>
      </c>
      <c r="D81" s="146" t="s">
        <v>1877</v>
      </c>
      <c r="E81" s="82" t="s">
        <v>1467</v>
      </c>
      <c r="F81" s="79">
        <v>1781</v>
      </c>
      <c r="G81" s="147">
        <f>SUM(H81:K81)</f>
        <v>3.42239247311828</v>
      </c>
      <c r="H81" s="148"/>
      <c r="I81" s="148">
        <f>I42/744</f>
        <v>3.42239247311828</v>
      </c>
      <c r="J81" s="148"/>
      <c r="K81" s="149"/>
      <c r="L81" s="142"/>
      <c r="M81" s="85" t="s">
        <v>1468</v>
      </c>
      <c r="N81" s="86" t="s">
        <v>1451</v>
      </c>
      <c r="O81" s="86" t="s">
        <v>1466</v>
      </c>
    </row>
    <row r="82" spans="3:16" s="140" customFormat="1" ht="12.75">
      <c r="C82" s="141"/>
      <c r="D82" s="108"/>
      <c r="E82" s="104" t="s">
        <v>334</v>
      </c>
      <c r="F82" s="73"/>
      <c r="G82" s="73"/>
      <c r="H82" s="73"/>
      <c r="I82" s="73"/>
      <c r="J82" s="73"/>
      <c r="K82" s="74"/>
      <c r="L82" s="142"/>
      <c r="M82" s="52"/>
      <c r="P82" s="115"/>
    </row>
    <row r="83" spans="3:16" s="140" customFormat="1" ht="12.75">
      <c r="C83" s="141"/>
      <c r="D83" s="106" t="s">
        <v>408</v>
      </c>
      <c r="E83" s="105" t="s">
        <v>477</v>
      </c>
      <c r="F83" s="68" t="s">
        <v>257</v>
      </c>
      <c r="G83" s="143">
        <f t="shared" si="0"/>
        <v>0</v>
      </c>
      <c r="H83" s="122"/>
      <c r="I83" s="122"/>
      <c r="J83" s="122"/>
      <c r="K83" s="122"/>
      <c r="L83" s="142"/>
      <c r="M83" s="52"/>
      <c r="P83" s="115">
        <v>410</v>
      </c>
    </row>
    <row r="84" spans="3:16" s="140" customFormat="1" ht="12.75">
      <c r="C84" s="141"/>
      <c r="D84" s="106" t="s">
        <v>409</v>
      </c>
      <c r="E84" s="88" t="s">
        <v>159</v>
      </c>
      <c r="F84" s="68" t="s">
        <v>258</v>
      </c>
      <c r="G84" s="143">
        <f t="shared" si="0"/>
        <v>3.571950268817202</v>
      </c>
      <c r="H84" s="122">
        <f>H45/744</f>
        <v>1.1646814516129032</v>
      </c>
      <c r="I84" s="122">
        <f>I45/744</f>
        <v>1.0965094086021501</v>
      </c>
      <c r="J84" s="122">
        <f>J45/744</f>
        <v>1.3107594086021499</v>
      </c>
      <c r="K84" s="122">
        <f>K45/744</f>
        <v>-7.4014868308343773E-16</v>
      </c>
      <c r="L84" s="142"/>
      <c r="M84" s="52"/>
      <c r="P84" s="115">
        <v>440</v>
      </c>
    </row>
    <row r="85" spans="3:16" s="140" customFormat="1" ht="12.75">
      <c r="C85" s="141"/>
      <c r="D85" s="106" t="s">
        <v>410</v>
      </c>
      <c r="E85" s="88" t="s">
        <v>160</v>
      </c>
      <c r="F85" s="68" t="s">
        <v>259</v>
      </c>
      <c r="G85" s="143">
        <f t="shared" si="0"/>
        <v>0</v>
      </c>
      <c r="H85" s="122"/>
      <c r="I85" s="122"/>
      <c r="J85" s="122"/>
      <c r="K85" s="122"/>
      <c r="L85" s="142"/>
      <c r="M85" s="52"/>
      <c r="P85" s="115">
        <v>450</v>
      </c>
    </row>
    <row r="86" spans="3:16" s="140" customFormat="1" ht="12.75">
      <c r="C86" s="141"/>
      <c r="D86" s="106" t="s">
        <v>411</v>
      </c>
      <c r="E86" s="88" t="s">
        <v>162</v>
      </c>
      <c r="F86" s="68" t="s">
        <v>260</v>
      </c>
      <c r="G86" s="143">
        <f t="shared" si="0"/>
        <v>0</v>
      </c>
      <c r="H86" s="122"/>
      <c r="I86" s="122"/>
      <c r="J86" s="122"/>
      <c r="K86" s="122"/>
      <c r="L86" s="142"/>
      <c r="M86" s="52"/>
      <c r="P86" s="115">
        <v>470</v>
      </c>
    </row>
    <row r="87" spans="3:16" s="140" customFormat="1" ht="12.75">
      <c r="C87" s="141"/>
      <c r="D87" s="106" t="s">
        <v>412</v>
      </c>
      <c r="E87" s="88" t="s">
        <v>473</v>
      </c>
      <c r="F87" s="68" t="s">
        <v>261</v>
      </c>
      <c r="G87" s="143">
        <f t="shared" si="0"/>
        <v>0.18592069892473118</v>
      </c>
      <c r="H87" s="122">
        <f>H48/744</f>
        <v>1.1155913978494624E-4</v>
      </c>
      <c r="I87" s="122">
        <f>I48/744</f>
        <v>9.413575268817205E-2</v>
      </c>
      <c r="J87" s="122">
        <f>J48/744</f>
        <v>5.5713709677419357E-2</v>
      </c>
      <c r="K87" s="122">
        <f>K48/744</f>
        <v>3.5959677419354838E-2</v>
      </c>
      <c r="L87" s="142"/>
      <c r="M87" s="52"/>
      <c r="P87" s="115">
        <v>480</v>
      </c>
    </row>
    <row r="88" spans="3:16" s="140" customFormat="1" ht="12.75">
      <c r="C88" s="141"/>
      <c r="D88" s="106" t="s">
        <v>413</v>
      </c>
      <c r="E88" s="67" t="s">
        <v>233</v>
      </c>
      <c r="F88" s="68" t="s">
        <v>262</v>
      </c>
      <c r="G88" s="143">
        <f t="shared" si="0"/>
        <v>0</v>
      </c>
      <c r="H88" s="122"/>
      <c r="I88" s="122"/>
      <c r="J88" s="122"/>
      <c r="K88" s="122"/>
      <c r="L88" s="142"/>
      <c r="M88" s="52"/>
      <c r="P88" s="115">
        <v>490</v>
      </c>
    </row>
    <row r="89" spans="3:16" s="140" customFormat="1" ht="22.5">
      <c r="C89" s="141"/>
      <c r="D89" s="106" t="s">
        <v>414</v>
      </c>
      <c r="E89" s="88" t="s">
        <v>417</v>
      </c>
      <c r="F89" s="68" t="s">
        <v>263</v>
      </c>
      <c r="G89" s="143">
        <f t="shared" si="0"/>
        <v>0.20277822580645161</v>
      </c>
      <c r="H89" s="122"/>
      <c r="I89" s="122">
        <f>I50/744</f>
        <v>5.2268115483870961E-2</v>
      </c>
      <c r="J89" s="122">
        <f>J50/744</f>
        <v>7.5522722419354829E-2</v>
      </c>
      <c r="K89" s="122">
        <f>K50/744</f>
        <v>7.4987387903225802E-2</v>
      </c>
      <c r="L89" s="142"/>
      <c r="M89" s="52"/>
      <c r="P89" s="115"/>
    </row>
    <row r="90" spans="3:16" s="140" customFormat="1" ht="33.75">
      <c r="C90" s="141"/>
      <c r="D90" s="106" t="s">
        <v>415</v>
      </c>
      <c r="E90" s="89" t="s">
        <v>236</v>
      </c>
      <c r="F90" s="68" t="s">
        <v>264</v>
      </c>
      <c r="G90" s="143">
        <f t="shared" si="0"/>
        <v>-1.6857526881720403E-2</v>
      </c>
      <c r="H90" s="143">
        <f>H87-H89</f>
        <v>1.1155913978494624E-4</v>
      </c>
      <c r="I90" s="143">
        <f>I87-I89</f>
        <v>4.1867637204301089E-2</v>
      </c>
      <c r="J90" s="143">
        <f>J87-J89</f>
        <v>-1.9809012741935472E-2</v>
      </c>
      <c r="K90" s="143">
        <f>K87-K89</f>
        <v>-3.9027710483870964E-2</v>
      </c>
      <c r="L90" s="142"/>
      <c r="M90" s="52"/>
      <c r="P90" s="115"/>
    </row>
    <row r="91" spans="3:16" s="140" customFormat="1" ht="12.75">
      <c r="C91" s="141"/>
      <c r="D91" s="106" t="s">
        <v>416</v>
      </c>
      <c r="E91" s="88" t="s">
        <v>163</v>
      </c>
      <c r="F91" s="68" t="s">
        <v>265</v>
      </c>
      <c r="G91" s="143">
        <f t="shared" si="0"/>
        <v>0</v>
      </c>
      <c r="H91" s="143">
        <f>(H54+H67+H72)-(H73+H84+H85+H86+H87)</f>
        <v>0</v>
      </c>
      <c r="I91" s="143">
        <f>(I54+I67+I72)-(I73+I84+I85+I86+I87)</f>
        <v>0</v>
      </c>
      <c r="J91" s="143">
        <f>(J54+J67+J72)-(J73+J84+J85+J86+J87)</f>
        <v>0</v>
      </c>
      <c r="K91" s="143">
        <f>(K54+K67+K72)-(K73+K84+K85+K86+K87)</f>
        <v>0</v>
      </c>
      <c r="L91" s="142"/>
      <c r="M91" s="52"/>
      <c r="P91" s="115">
        <v>500</v>
      </c>
    </row>
    <row r="92" spans="3:16" s="140" customFormat="1" ht="12.75">
      <c r="C92" s="141"/>
      <c r="D92" s="174" t="s">
        <v>202</v>
      </c>
      <c r="E92" s="175"/>
      <c r="F92" s="175"/>
      <c r="G92" s="175"/>
      <c r="H92" s="175"/>
      <c r="I92" s="175"/>
      <c r="J92" s="175"/>
      <c r="K92" s="176"/>
      <c r="L92" s="142"/>
      <c r="M92" s="52"/>
      <c r="P92" s="116"/>
    </row>
    <row r="93" spans="3:16" s="140" customFormat="1" ht="12.75">
      <c r="C93" s="141"/>
      <c r="D93" s="106" t="s">
        <v>418</v>
      </c>
      <c r="E93" s="88" t="s">
        <v>164</v>
      </c>
      <c r="F93" s="68" t="s">
        <v>266</v>
      </c>
      <c r="G93" s="143">
        <f t="shared" si="0"/>
        <v>0</v>
      </c>
      <c r="H93" s="122"/>
      <c r="I93" s="122"/>
      <c r="J93" s="122"/>
      <c r="K93" s="122"/>
      <c r="L93" s="142"/>
      <c r="M93" s="52"/>
      <c r="P93" s="115">
        <v>600</v>
      </c>
    </row>
    <row r="94" spans="3:16" s="140" customFormat="1" ht="12.75">
      <c r="C94" s="141"/>
      <c r="D94" s="106" t="s">
        <v>419</v>
      </c>
      <c r="E94" s="88" t="s">
        <v>165</v>
      </c>
      <c r="F94" s="68" t="s">
        <v>267</v>
      </c>
      <c r="G94" s="143">
        <f t="shared" si="0"/>
        <v>56.423000000000002</v>
      </c>
      <c r="H94" s="122"/>
      <c r="I94" s="122">
        <v>56.423000000000002</v>
      </c>
      <c r="J94" s="122"/>
      <c r="K94" s="122"/>
      <c r="L94" s="142"/>
      <c r="M94" s="52"/>
      <c r="P94" s="115">
        <v>610</v>
      </c>
    </row>
    <row r="95" spans="3:16" s="140" customFormat="1" ht="12.75">
      <c r="C95" s="141"/>
      <c r="D95" s="106" t="s">
        <v>420</v>
      </c>
      <c r="E95" s="88" t="s">
        <v>166</v>
      </c>
      <c r="F95" s="68" t="s">
        <v>268</v>
      </c>
      <c r="G95" s="143">
        <f t="shared" si="0"/>
        <v>0</v>
      </c>
      <c r="H95" s="122"/>
      <c r="I95" s="122"/>
      <c r="J95" s="122"/>
      <c r="K95" s="122"/>
      <c r="L95" s="142"/>
      <c r="M95" s="52"/>
      <c r="P95" s="115">
        <v>620</v>
      </c>
    </row>
    <row r="96" spans="3:16" s="140" customFormat="1" ht="12.75">
      <c r="C96" s="141"/>
      <c r="D96" s="174" t="s">
        <v>209</v>
      </c>
      <c r="E96" s="175"/>
      <c r="F96" s="175"/>
      <c r="G96" s="175"/>
      <c r="H96" s="175"/>
      <c r="I96" s="175"/>
      <c r="J96" s="175"/>
      <c r="K96" s="176"/>
      <c r="L96" s="142"/>
      <c r="M96" s="52"/>
      <c r="P96" s="116"/>
    </row>
    <row r="97" spans="3:16" s="140" customFormat="1" ht="12.75">
      <c r="C97" s="141"/>
      <c r="D97" s="106" t="s">
        <v>421</v>
      </c>
      <c r="E97" s="88" t="s">
        <v>506</v>
      </c>
      <c r="F97" s="68" t="s">
        <v>269</v>
      </c>
      <c r="G97" s="143">
        <f t="shared" si="0"/>
        <v>0</v>
      </c>
      <c r="H97" s="143">
        <f>SUM(H98:H99)</f>
        <v>0</v>
      </c>
      <c r="I97" s="143">
        <f>SUM(I98:I99)</f>
        <v>0</v>
      </c>
      <c r="J97" s="143">
        <f>SUM(J98:J99)</f>
        <v>0</v>
      </c>
      <c r="K97" s="143">
        <f>SUM(K98:K99)</f>
        <v>0</v>
      </c>
      <c r="L97" s="142"/>
      <c r="M97" s="52"/>
      <c r="P97" s="115">
        <v>700</v>
      </c>
    </row>
    <row r="98" spans="3:16" ht="12.75">
      <c r="C98" s="130"/>
      <c r="D98" s="107" t="s">
        <v>422</v>
      </c>
      <c r="E98" s="67" t="s">
        <v>167</v>
      </c>
      <c r="F98" s="68" t="s">
        <v>270</v>
      </c>
      <c r="G98" s="143">
        <f t="shared" si="0"/>
        <v>0</v>
      </c>
      <c r="H98" s="152"/>
      <c r="I98" s="152"/>
      <c r="J98" s="152"/>
      <c r="K98" s="152"/>
      <c r="L98" s="137"/>
      <c r="M98" s="52"/>
      <c r="P98" s="115">
        <v>710</v>
      </c>
    </row>
    <row r="99" spans="3:16" ht="12.75">
      <c r="C99" s="130"/>
      <c r="D99" s="107" t="s">
        <v>423</v>
      </c>
      <c r="E99" s="67" t="s">
        <v>507</v>
      </c>
      <c r="F99" s="68" t="s">
        <v>271</v>
      </c>
      <c r="G99" s="143">
        <f t="shared" si="0"/>
        <v>0</v>
      </c>
      <c r="H99" s="153">
        <f>H102</f>
        <v>0</v>
      </c>
      <c r="I99" s="153">
        <f>I102</f>
        <v>0</v>
      </c>
      <c r="J99" s="153">
        <f>J102</f>
        <v>0</v>
      </c>
      <c r="K99" s="153">
        <f>K102</f>
        <v>0</v>
      </c>
      <c r="L99" s="137"/>
      <c r="M99" s="52"/>
      <c r="P99" s="115">
        <v>720</v>
      </c>
    </row>
    <row r="100" spans="3:16" ht="12.75">
      <c r="C100" s="130"/>
      <c r="D100" s="107" t="s">
        <v>424</v>
      </c>
      <c r="E100" s="69" t="s">
        <v>508</v>
      </c>
      <c r="F100" s="68" t="s">
        <v>273</v>
      </c>
      <c r="G100" s="143">
        <f t="shared" si="0"/>
        <v>0</v>
      </c>
      <c r="H100" s="152"/>
      <c r="I100" s="152"/>
      <c r="J100" s="152"/>
      <c r="K100" s="152"/>
      <c r="L100" s="137"/>
      <c r="M100" s="52"/>
      <c r="P100" s="115">
        <v>730</v>
      </c>
    </row>
    <row r="101" spans="3:16" ht="12.75">
      <c r="C101" s="130"/>
      <c r="D101" s="107" t="s">
        <v>425</v>
      </c>
      <c r="E101" s="71" t="s">
        <v>509</v>
      </c>
      <c r="F101" s="68" t="s">
        <v>274</v>
      </c>
      <c r="G101" s="143">
        <f t="shared" si="0"/>
        <v>0</v>
      </c>
      <c r="H101" s="152"/>
      <c r="I101" s="152"/>
      <c r="J101" s="152"/>
      <c r="K101" s="152"/>
      <c r="L101" s="137"/>
      <c r="M101" s="52"/>
      <c r="P101" s="115"/>
    </row>
    <row r="102" spans="3:16" ht="12.75">
      <c r="C102" s="130"/>
      <c r="D102" s="107" t="s">
        <v>426</v>
      </c>
      <c r="E102" s="69" t="s">
        <v>478</v>
      </c>
      <c r="F102" s="68" t="s">
        <v>275</v>
      </c>
      <c r="G102" s="143">
        <f t="shared" si="0"/>
        <v>0</v>
      </c>
      <c r="H102" s="152"/>
      <c r="I102" s="152"/>
      <c r="J102" s="152"/>
      <c r="K102" s="152"/>
      <c r="L102" s="137"/>
      <c r="M102" s="52"/>
      <c r="P102" s="115">
        <v>740</v>
      </c>
    </row>
    <row r="103" spans="3:16" ht="12.75">
      <c r="C103" s="130"/>
      <c r="D103" s="107" t="s">
        <v>427</v>
      </c>
      <c r="E103" s="88" t="s">
        <v>510</v>
      </c>
      <c r="F103" s="68" t="s">
        <v>277</v>
      </c>
      <c r="G103" s="143">
        <f t="shared" si="0"/>
        <v>0</v>
      </c>
      <c r="H103" s="153">
        <f>H104+H120</f>
        <v>0</v>
      </c>
      <c r="I103" s="153">
        <f>I104+I120</f>
        <v>0</v>
      </c>
      <c r="J103" s="153">
        <f>J104+J120</f>
        <v>0</v>
      </c>
      <c r="K103" s="153">
        <f>K104+K120</f>
        <v>0</v>
      </c>
      <c r="L103" s="137"/>
      <c r="M103" s="52"/>
      <c r="P103" s="115">
        <v>750</v>
      </c>
    </row>
    <row r="104" spans="3:16" ht="12.75">
      <c r="C104" s="130"/>
      <c r="D104" s="107" t="s">
        <v>428</v>
      </c>
      <c r="E104" s="67" t="s">
        <v>279</v>
      </c>
      <c r="F104" s="68" t="s">
        <v>278</v>
      </c>
      <c r="G104" s="143">
        <f t="shared" si="0"/>
        <v>0</v>
      </c>
      <c r="H104" s="153">
        <f>H105+H106</f>
        <v>0</v>
      </c>
      <c r="I104" s="153">
        <f>I105+I106</f>
        <v>0</v>
      </c>
      <c r="J104" s="153">
        <f>J105+J106</f>
        <v>0</v>
      </c>
      <c r="K104" s="153">
        <f>K105+K106</f>
        <v>0</v>
      </c>
      <c r="L104" s="137"/>
      <c r="M104" s="52"/>
      <c r="P104" s="115">
        <v>760</v>
      </c>
    </row>
    <row r="105" spans="3:16" ht="12.75">
      <c r="C105" s="130"/>
      <c r="D105" s="107" t="s">
        <v>429</v>
      </c>
      <c r="E105" s="69" t="s">
        <v>222</v>
      </c>
      <c r="F105" s="68" t="s">
        <v>280</v>
      </c>
      <c r="G105" s="143">
        <f t="shared" si="0"/>
        <v>0</v>
      </c>
      <c r="H105" s="152"/>
      <c r="I105" s="152"/>
      <c r="J105" s="152"/>
      <c r="K105" s="152"/>
      <c r="L105" s="137"/>
      <c r="M105" s="52"/>
      <c r="P105" s="115"/>
    </row>
    <row r="106" spans="3:16" ht="12.75">
      <c r="C106" s="130"/>
      <c r="D106" s="107" t="s">
        <v>430</v>
      </c>
      <c r="E106" s="69" t="s">
        <v>511</v>
      </c>
      <c r="F106" s="68" t="s">
        <v>281</v>
      </c>
      <c r="G106" s="143">
        <f t="shared" si="0"/>
        <v>0</v>
      </c>
      <c r="H106" s="153">
        <f>H107+H110+H113+H116+H117+H118+H119</f>
        <v>0</v>
      </c>
      <c r="I106" s="153">
        <f>I107+I110+I113+I116+I117+I118+I119</f>
        <v>0</v>
      </c>
      <c r="J106" s="153">
        <f>J107+J110+J113+J116+J117+J118+J119</f>
        <v>0</v>
      </c>
      <c r="K106" s="153">
        <f>K107+K110+K113+K116+K117+K118+K119</f>
        <v>0</v>
      </c>
      <c r="L106" s="137"/>
      <c r="M106" s="52"/>
      <c r="P106" s="115"/>
    </row>
    <row r="107" spans="3:16" ht="45">
      <c r="C107" s="130"/>
      <c r="D107" s="107" t="s">
        <v>431</v>
      </c>
      <c r="E107" s="71" t="s">
        <v>512</v>
      </c>
      <c r="F107" s="68" t="s">
        <v>282</v>
      </c>
      <c r="G107" s="143">
        <f t="shared" si="0"/>
        <v>0</v>
      </c>
      <c r="H107" s="154">
        <f>H108+H109</f>
        <v>0</v>
      </c>
      <c r="I107" s="154">
        <f>I108+I109</f>
        <v>0</v>
      </c>
      <c r="J107" s="154">
        <f>J108+J109</f>
        <v>0</v>
      </c>
      <c r="K107" s="154">
        <f>K108+K109</f>
        <v>0</v>
      </c>
      <c r="L107" s="137"/>
      <c r="M107" s="52"/>
      <c r="P107" s="115"/>
    </row>
    <row r="108" spans="3:16" ht="12.75">
      <c r="C108" s="130"/>
      <c r="D108" s="107" t="s">
        <v>433</v>
      </c>
      <c r="E108" s="72" t="s">
        <v>283</v>
      </c>
      <c r="F108" s="68" t="s">
        <v>284</v>
      </c>
      <c r="G108" s="143">
        <f t="shared" si="0"/>
        <v>0</v>
      </c>
      <c r="H108" s="152"/>
      <c r="I108" s="152"/>
      <c r="J108" s="152"/>
      <c r="K108" s="152"/>
      <c r="L108" s="137"/>
      <c r="M108" s="52"/>
      <c r="P108" s="115"/>
    </row>
    <row r="109" spans="3:16" ht="12.75">
      <c r="C109" s="130"/>
      <c r="D109" s="107" t="s">
        <v>434</v>
      </c>
      <c r="E109" s="72" t="s">
        <v>285</v>
      </c>
      <c r="F109" s="68" t="s">
        <v>286</v>
      </c>
      <c r="G109" s="143">
        <f t="shared" si="0"/>
        <v>0</v>
      </c>
      <c r="H109" s="152"/>
      <c r="I109" s="152"/>
      <c r="J109" s="152"/>
      <c r="K109" s="152"/>
      <c r="L109" s="137"/>
      <c r="M109" s="52"/>
      <c r="P109" s="115"/>
    </row>
    <row r="110" spans="3:16" ht="45">
      <c r="C110" s="130"/>
      <c r="D110" s="107" t="s">
        <v>432</v>
      </c>
      <c r="E110" s="71" t="s">
        <v>513</v>
      </c>
      <c r="F110" s="68" t="s">
        <v>287</v>
      </c>
      <c r="G110" s="143">
        <f t="shared" si="0"/>
        <v>0</v>
      </c>
      <c r="H110" s="154">
        <f>H111+H112</f>
        <v>0</v>
      </c>
      <c r="I110" s="154">
        <f>I111+I112</f>
        <v>0</v>
      </c>
      <c r="J110" s="154">
        <f>J111+J112</f>
        <v>0</v>
      </c>
      <c r="K110" s="154">
        <f>K111+K112</f>
        <v>0</v>
      </c>
      <c r="L110" s="137"/>
      <c r="M110" s="52"/>
      <c r="P110" s="115"/>
    </row>
    <row r="111" spans="3:16" ht="12.75">
      <c r="C111" s="130"/>
      <c r="D111" s="107" t="s">
        <v>435</v>
      </c>
      <c r="E111" s="72" t="s">
        <v>283</v>
      </c>
      <c r="F111" s="68" t="s">
        <v>288</v>
      </c>
      <c r="G111" s="143">
        <f t="shared" si="0"/>
        <v>0</v>
      </c>
      <c r="H111" s="152"/>
      <c r="I111" s="152"/>
      <c r="J111" s="152"/>
      <c r="K111" s="152"/>
      <c r="L111" s="137"/>
      <c r="M111" s="52"/>
      <c r="P111" s="115"/>
    </row>
    <row r="112" spans="3:16" ht="12.75">
      <c r="C112" s="130"/>
      <c r="D112" s="107" t="s">
        <v>436</v>
      </c>
      <c r="E112" s="72" t="s">
        <v>285</v>
      </c>
      <c r="F112" s="68" t="s">
        <v>289</v>
      </c>
      <c r="G112" s="143">
        <f t="shared" si="0"/>
        <v>0</v>
      </c>
      <c r="H112" s="152"/>
      <c r="I112" s="152"/>
      <c r="J112" s="152"/>
      <c r="K112" s="152"/>
      <c r="L112" s="137"/>
      <c r="M112" s="52"/>
      <c r="P112" s="115"/>
    </row>
    <row r="113" spans="3:16" ht="22.5">
      <c r="C113" s="130"/>
      <c r="D113" s="107" t="s">
        <v>437</v>
      </c>
      <c r="E113" s="71" t="s">
        <v>514</v>
      </c>
      <c r="F113" s="68" t="s">
        <v>290</v>
      </c>
      <c r="G113" s="143">
        <f t="shared" si="0"/>
        <v>0</v>
      </c>
      <c r="H113" s="154">
        <f>H114+H115</f>
        <v>0</v>
      </c>
      <c r="I113" s="154">
        <f>I114+I115</f>
        <v>0</v>
      </c>
      <c r="J113" s="154">
        <f>J114+J115</f>
        <v>0</v>
      </c>
      <c r="K113" s="154">
        <f>K114+K115</f>
        <v>0</v>
      </c>
      <c r="L113" s="137"/>
      <c r="M113" s="52"/>
      <c r="P113" s="115"/>
    </row>
    <row r="114" spans="3:16" ht="12.75">
      <c r="C114" s="130"/>
      <c r="D114" s="107" t="s">
        <v>438</v>
      </c>
      <c r="E114" s="72" t="s">
        <v>283</v>
      </c>
      <c r="F114" s="68" t="s">
        <v>291</v>
      </c>
      <c r="G114" s="143">
        <f t="shared" si="0"/>
        <v>0</v>
      </c>
      <c r="H114" s="152"/>
      <c r="I114" s="152"/>
      <c r="J114" s="152"/>
      <c r="K114" s="152"/>
      <c r="L114" s="137"/>
      <c r="M114" s="52"/>
      <c r="P114" s="115"/>
    </row>
    <row r="115" spans="3:16" ht="12.75">
      <c r="C115" s="130"/>
      <c r="D115" s="107" t="s">
        <v>439</v>
      </c>
      <c r="E115" s="72" t="s">
        <v>285</v>
      </c>
      <c r="F115" s="68" t="s">
        <v>292</v>
      </c>
      <c r="G115" s="143">
        <f t="shared" si="0"/>
        <v>0</v>
      </c>
      <c r="H115" s="152"/>
      <c r="I115" s="152"/>
      <c r="J115" s="152"/>
      <c r="K115" s="152"/>
      <c r="L115" s="137"/>
      <c r="M115" s="52"/>
      <c r="P115" s="115"/>
    </row>
    <row r="116" spans="3:16" ht="22.5">
      <c r="C116" s="130"/>
      <c r="D116" s="107" t="s">
        <v>440</v>
      </c>
      <c r="E116" s="71" t="s">
        <v>293</v>
      </c>
      <c r="F116" s="68" t="s">
        <v>294</v>
      </c>
      <c r="G116" s="143">
        <f t="shared" si="0"/>
        <v>0</v>
      </c>
      <c r="H116" s="152"/>
      <c r="I116" s="152"/>
      <c r="J116" s="152"/>
      <c r="K116" s="152"/>
      <c r="L116" s="137"/>
      <c r="M116" s="52"/>
      <c r="P116" s="115"/>
    </row>
    <row r="117" spans="3:16" ht="12.75">
      <c r="C117" s="130"/>
      <c r="D117" s="107" t="s">
        <v>441</v>
      </c>
      <c r="E117" s="71" t="s">
        <v>295</v>
      </c>
      <c r="F117" s="68" t="s">
        <v>296</v>
      </c>
      <c r="G117" s="143">
        <f t="shared" si="0"/>
        <v>0</v>
      </c>
      <c r="H117" s="152"/>
      <c r="I117" s="152"/>
      <c r="J117" s="152"/>
      <c r="K117" s="152"/>
      <c r="L117" s="137"/>
      <c r="M117" s="52"/>
      <c r="P117" s="115"/>
    </row>
    <row r="118" spans="3:16" ht="45">
      <c r="C118" s="130"/>
      <c r="D118" s="107" t="s">
        <v>442</v>
      </c>
      <c r="E118" s="71" t="s">
        <v>479</v>
      </c>
      <c r="F118" s="68" t="s">
        <v>297</v>
      </c>
      <c r="G118" s="143">
        <f t="shared" si="0"/>
        <v>0</v>
      </c>
      <c r="H118" s="152"/>
      <c r="I118" s="152"/>
      <c r="J118" s="152"/>
      <c r="K118" s="152"/>
      <c r="L118" s="137"/>
      <c r="M118" s="52"/>
      <c r="P118" s="115"/>
    </row>
    <row r="119" spans="3:16" ht="22.5">
      <c r="C119" s="130"/>
      <c r="D119" s="107" t="s">
        <v>443</v>
      </c>
      <c r="E119" s="71" t="s">
        <v>298</v>
      </c>
      <c r="F119" s="68" t="s">
        <v>299</v>
      </c>
      <c r="G119" s="143">
        <f t="shared" si="0"/>
        <v>0</v>
      </c>
      <c r="H119" s="152"/>
      <c r="I119" s="152"/>
      <c r="J119" s="152"/>
      <c r="K119" s="152"/>
      <c r="L119" s="137"/>
      <c r="M119" s="52"/>
      <c r="P119" s="115"/>
    </row>
    <row r="120" spans="3:16" ht="12.75">
      <c r="C120" s="130"/>
      <c r="D120" s="107" t="s">
        <v>444</v>
      </c>
      <c r="E120" s="67" t="s">
        <v>515</v>
      </c>
      <c r="F120" s="68" t="s">
        <v>300</v>
      </c>
      <c r="G120" s="143">
        <f t="shared" si="0"/>
        <v>0</v>
      </c>
      <c r="H120" s="153">
        <f>H123</f>
        <v>0</v>
      </c>
      <c r="I120" s="153">
        <f>I123</f>
        <v>0</v>
      </c>
      <c r="J120" s="153">
        <f>J123</f>
        <v>0</v>
      </c>
      <c r="K120" s="153">
        <f>K123</f>
        <v>0</v>
      </c>
      <c r="L120" s="137"/>
      <c r="M120" s="52"/>
      <c r="P120" s="115">
        <v>770</v>
      </c>
    </row>
    <row r="121" spans="3:16" ht="12.75">
      <c r="C121" s="130"/>
      <c r="D121" s="107" t="s">
        <v>445</v>
      </c>
      <c r="E121" s="69" t="s">
        <v>508</v>
      </c>
      <c r="F121" s="68" t="s">
        <v>301</v>
      </c>
      <c r="G121" s="143">
        <f t="shared" si="0"/>
        <v>0</v>
      </c>
      <c r="H121" s="152"/>
      <c r="I121" s="152"/>
      <c r="J121" s="152"/>
      <c r="K121" s="152"/>
      <c r="L121" s="137"/>
      <c r="M121" s="52"/>
      <c r="P121" s="115">
        <v>780</v>
      </c>
    </row>
    <row r="122" spans="3:16" ht="12.75">
      <c r="C122" s="130"/>
      <c r="D122" s="107" t="s">
        <v>446</v>
      </c>
      <c r="E122" s="71" t="s">
        <v>516</v>
      </c>
      <c r="F122" s="68" t="s">
        <v>302</v>
      </c>
      <c r="G122" s="143">
        <f t="shared" si="0"/>
        <v>0</v>
      </c>
      <c r="H122" s="152"/>
      <c r="I122" s="152"/>
      <c r="J122" s="152"/>
      <c r="K122" s="152"/>
      <c r="L122" s="137"/>
      <c r="M122" s="52"/>
      <c r="P122" s="115"/>
    </row>
    <row r="123" spans="3:16" ht="12.75">
      <c r="C123" s="130"/>
      <c r="D123" s="107" t="s">
        <v>447</v>
      </c>
      <c r="E123" s="69" t="s">
        <v>478</v>
      </c>
      <c r="F123" s="68" t="s">
        <v>303</v>
      </c>
      <c r="G123" s="143">
        <f t="shared" si="0"/>
        <v>0</v>
      </c>
      <c r="H123" s="152"/>
      <c r="I123" s="152"/>
      <c r="J123" s="152"/>
      <c r="K123" s="152"/>
      <c r="L123" s="137"/>
      <c r="M123" s="52"/>
      <c r="P123" s="115">
        <v>790</v>
      </c>
    </row>
    <row r="124" spans="3:16" ht="22.5">
      <c r="C124" s="130"/>
      <c r="D124" s="107" t="s">
        <v>448</v>
      </c>
      <c r="E124" s="89" t="s">
        <v>517</v>
      </c>
      <c r="F124" s="68" t="s">
        <v>304</v>
      </c>
      <c r="G124" s="143">
        <f t="shared" si="0"/>
        <v>6299.7230000000009</v>
      </c>
      <c r="H124" s="153">
        <f>SUM(H125:H126)</f>
        <v>8.3000000000000004E-2</v>
      </c>
      <c r="I124" s="153">
        <f>SUM(I125:I126)</f>
        <v>3340.4120000000003</v>
      </c>
      <c r="J124" s="153">
        <f>SUM(J125:J126)</f>
        <v>2010.777</v>
      </c>
      <c r="K124" s="153">
        <f>SUM(K125:K126)</f>
        <v>948.45100000000002</v>
      </c>
      <c r="L124" s="137"/>
      <c r="M124" s="52"/>
      <c r="P124" s="115"/>
    </row>
    <row r="125" spans="3:16" ht="12.75">
      <c r="C125" s="130"/>
      <c r="D125" s="107" t="s">
        <v>449</v>
      </c>
      <c r="E125" s="67" t="s">
        <v>167</v>
      </c>
      <c r="F125" s="68" t="s">
        <v>305</v>
      </c>
      <c r="G125" s="143">
        <f t="shared" si="0"/>
        <v>0</v>
      </c>
      <c r="H125" s="152"/>
      <c r="I125" s="152"/>
      <c r="J125" s="152"/>
      <c r="K125" s="152"/>
      <c r="L125" s="137"/>
      <c r="M125" s="52"/>
      <c r="P125" s="115"/>
    </row>
    <row r="126" spans="3:16" ht="12.75">
      <c r="C126" s="130"/>
      <c r="D126" s="107" t="s">
        <v>450</v>
      </c>
      <c r="E126" s="67" t="s">
        <v>507</v>
      </c>
      <c r="F126" s="68" t="s">
        <v>306</v>
      </c>
      <c r="G126" s="143">
        <f t="shared" si="0"/>
        <v>6299.7230000000009</v>
      </c>
      <c r="H126" s="153">
        <f>H128</f>
        <v>8.3000000000000004E-2</v>
      </c>
      <c r="I126" s="153">
        <f>I128</f>
        <v>3340.4120000000003</v>
      </c>
      <c r="J126" s="153">
        <f>J128</f>
        <v>2010.777</v>
      </c>
      <c r="K126" s="153">
        <f>K128</f>
        <v>948.45100000000002</v>
      </c>
      <c r="L126" s="137"/>
      <c r="M126" s="52"/>
      <c r="P126" s="115"/>
    </row>
    <row r="127" spans="3:16" ht="12.75">
      <c r="C127" s="130"/>
      <c r="D127" s="107" t="s">
        <v>451</v>
      </c>
      <c r="E127" s="69" t="s">
        <v>272</v>
      </c>
      <c r="F127" s="68" t="s">
        <v>307</v>
      </c>
      <c r="G127" s="143">
        <f t="shared" si="0"/>
        <v>56.423000000000002</v>
      </c>
      <c r="H127" s="152"/>
      <c r="I127" s="152">
        <f>I94</f>
        <v>56.423000000000002</v>
      </c>
      <c r="J127" s="152"/>
      <c r="K127" s="152"/>
      <c r="L127" s="137"/>
      <c r="M127" s="52"/>
      <c r="P127" s="115"/>
    </row>
    <row r="128" spans="3:16" ht="12.75">
      <c r="C128" s="130"/>
      <c r="D128" s="107" t="s">
        <v>452</v>
      </c>
      <c r="E128" s="69" t="s">
        <v>478</v>
      </c>
      <c r="F128" s="68" t="s">
        <v>308</v>
      </c>
      <c r="G128" s="143">
        <f t="shared" si="0"/>
        <v>6299.7230000000009</v>
      </c>
      <c r="H128" s="152">
        <f>H48+H34</f>
        <v>8.3000000000000004E-2</v>
      </c>
      <c r="I128" s="152">
        <f>I34+106.592</f>
        <v>3340.4120000000003</v>
      </c>
      <c r="J128" s="152">
        <f>J34+4.324+19.59+7.736</f>
        <v>2010.777</v>
      </c>
      <c r="K128" s="152">
        <f>K34</f>
        <v>948.45100000000002</v>
      </c>
      <c r="L128" s="137"/>
      <c r="M128" s="52"/>
      <c r="P128" s="115"/>
    </row>
    <row r="129" spans="3:16" ht="12.75">
      <c r="C129" s="130"/>
      <c r="D129" s="174" t="s">
        <v>203</v>
      </c>
      <c r="E129" s="175"/>
      <c r="F129" s="175"/>
      <c r="G129" s="175"/>
      <c r="H129" s="175"/>
      <c r="I129" s="175"/>
      <c r="J129" s="175"/>
      <c r="K129" s="176"/>
      <c r="L129" s="137"/>
      <c r="M129" s="52"/>
      <c r="P129" s="117"/>
    </row>
    <row r="130" spans="3:16" ht="22.5">
      <c r="C130" s="130"/>
      <c r="D130" s="107" t="s">
        <v>453</v>
      </c>
      <c r="E130" s="88" t="s">
        <v>518</v>
      </c>
      <c r="F130" s="68" t="s">
        <v>309</v>
      </c>
      <c r="G130" s="143">
        <f t="shared" si="0"/>
        <v>0</v>
      </c>
      <c r="H130" s="153">
        <f>SUM( H131:H132)</f>
        <v>0</v>
      </c>
      <c r="I130" s="153">
        <f>SUM( I131:I132)</f>
        <v>0</v>
      </c>
      <c r="J130" s="153">
        <f>SUM( J131:J132)</f>
        <v>0</v>
      </c>
      <c r="K130" s="153">
        <f>SUM( K131:K132)</f>
        <v>0</v>
      </c>
      <c r="L130" s="137"/>
      <c r="M130" s="52"/>
      <c r="P130" s="115">
        <v>800</v>
      </c>
    </row>
    <row r="131" spans="3:16" ht="12.75">
      <c r="C131" s="130"/>
      <c r="D131" s="107" t="s">
        <v>454</v>
      </c>
      <c r="E131" s="67" t="s">
        <v>167</v>
      </c>
      <c r="F131" s="68" t="s">
        <v>310</v>
      </c>
      <c r="G131" s="143">
        <f t="shared" si="0"/>
        <v>0</v>
      </c>
      <c r="H131" s="152"/>
      <c r="I131" s="152"/>
      <c r="J131" s="152"/>
      <c r="K131" s="152"/>
      <c r="L131" s="137"/>
      <c r="M131" s="52"/>
      <c r="P131" s="115">
        <v>810</v>
      </c>
    </row>
    <row r="132" spans="3:16" ht="12.75">
      <c r="C132" s="130"/>
      <c r="D132" s="107" t="s">
        <v>455</v>
      </c>
      <c r="E132" s="67" t="s">
        <v>507</v>
      </c>
      <c r="F132" s="68" t="s">
        <v>311</v>
      </c>
      <c r="G132" s="143">
        <f t="shared" si="0"/>
        <v>0</v>
      </c>
      <c r="H132" s="153">
        <f>H133+H135</f>
        <v>0</v>
      </c>
      <c r="I132" s="153">
        <f>I133+I135</f>
        <v>0</v>
      </c>
      <c r="J132" s="153">
        <f>J133+J135</f>
        <v>0</v>
      </c>
      <c r="K132" s="153">
        <f>K133+K135</f>
        <v>0</v>
      </c>
      <c r="L132" s="137"/>
      <c r="M132" s="52"/>
      <c r="P132" s="115">
        <v>820</v>
      </c>
    </row>
    <row r="133" spans="3:16" ht="12.75">
      <c r="C133" s="130"/>
      <c r="D133" s="107" t="s">
        <v>456</v>
      </c>
      <c r="E133" s="69" t="s">
        <v>519</v>
      </c>
      <c r="F133" s="68" t="s">
        <v>312</v>
      </c>
      <c r="G133" s="143">
        <f t="shared" si="0"/>
        <v>0</v>
      </c>
      <c r="H133" s="152"/>
      <c r="I133" s="152"/>
      <c r="J133" s="152"/>
      <c r="K133" s="152"/>
      <c r="L133" s="137"/>
      <c r="M133" s="52"/>
      <c r="P133" s="115">
        <v>830</v>
      </c>
    </row>
    <row r="134" spans="3:16" ht="12.75">
      <c r="C134" s="130"/>
      <c r="D134" s="107" t="s">
        <v>457</v>
      </c>
      <c r="E134" s="71" t="s">
        <v>520</v>
      </c>
      <c r="F134" s="68" t="s">
        <v>313</v>
      </c>
      <c r="G134" s="143">
        <f t="shared" si="0"/>
        <v>0</v>
      </c>
      <c r="H134" s="152"/>
      <c r="I134" s="152"/>
      <c r="J134" s="152"/>
      <c r="K134" s="152"/>
      <c r="L134" s="137"/>
      <c r="M134" s="52"/>
      <c r="P134" s="117"/>
    </row>
    <row r="135" spans="3:16" ht="12.75">
      <c r="C135" s="130"/>
      <c r="D135" s="107" t="s">
        <v>458</v>
      </c>
      <c r="E135" s="69" t="s">
        <v>169</v>
      </c>
      <c r="F135" s="68" t="s">
        <v>314</v>
      </c>
      <c r="G135" s="143">
        <f t="shared" si="0"/>
        <v>0</v>
      </c>
      <c r="H135" s="152"/>
      <c r="I135" s="152"/>
      <c r="J135" s="152"/>
      <c r="K135" s="152"/>
      <c r="L135" s="137"/>
      <c r="M135" s="52"/>
      <c r="P135" s="115">
        <v>840</v>
      </c>
    </row>
    <row r="136" spans="3:16" ht="12.75">
      <c r="C136" s="130"/>
      <c r="D136" s="107" t="s">
        <v>336</v>
      </c>
      <c r="E136" s="88" t="s">
        <v>521</v>
      </c>
      <c r="F136" s="68" t="s">
        <v>315</v>
      </c>
      <c r="G136" s="143">
        <f t="shared" si="0"/>
        <v>0</v>
      </c>
      <c r="H136" s="154">
        <f>SUM( H137+H142)</f>
        <v>0</v>
      </c>
      <c r="I136" s="154">
        <f>SUM( I137+I142)</f>
        <v>0</v>
      </c>
      <c r="J136" s="154">
        <f>SUM( J137+J142)</f>
        <v>0</v>
      </c>
      <c r="K136" s="154">
        <f>SUM( K137+K142)</f>
        <v>0</v>
      </c>
      <c r="L136" s="155"/>
      <c r="M136" s="52"/>
      <c r="P136" s="115">
        <v>850</v>
      </c>
    </row>
    <row r="137" spans="3:16" ht="12.75">
      <c r="C137" s="130"/>
      <c r="D137" s="107" t="s">
        <v>459</v>
      </c>
      <c r="E137" s="67" t="s">
        <v>167</v>
      </c>
      <c r="F137" s="68" t="s">
        <v>316</v>
      </c>
      <c r="G137" s="143">
        <f t="shared" ref="G137:G150" si="1">SUM(H137:K137)</f>
        <v>0</v>
      </c>
      <c r="H137" s="154">
        <f>SUM( H138:H139)</f>
        <v>0</v>
      </c>
      <c r="I137" s="154">
        <f>SUM( I138:I139)</f>
        <v>0</v>
      </c>
      <c r="J137" s="154">
        <f>SUM( J138:J139)</f>
        <v>0</v>
      </c>
      <c r="K137" s="154">
        <f>SUM( K138:K139)</f>
        <v>0</v>
      </c>
      <c r="L137" s="155"/>
      <c r="M137" s="52"/>
      <c r="P137" s="115">
        <v>860</v>
      </c>
    </row>
    <row r="138" spans="3:16" ht="12.75">
      <c r="C138" s="130"/>
      <c r="D138" s="107" t="s">
        <v>460</v>
      </c>
      <c r="E138" s="69" t="s">
        <v>222</v>
      </c>
      <c r="F138" s="68" t="s">
        <v>317</v>
      </c>
      <c r="G138" s="143">
        <f t="shared" si="1"/>
        <v>0</v>
      </c>
      <c r="H138" s="156"/>
      <c r="I138" s="156"/>
      <c r="J138" s="156"/>
      <c r="K138" s="156"/>
      <c r="L138" s="155"/>
      <c r="M138" s="52"/>
      <c r="P138" s="115"/>
    </row>
    <row r="139" spans="3:16" ht="12.75">
      <c r="C139" s="130"/>
      <c r="D139" s="107" t="s">
        <v>461</v>
      </c>
      <c r="E139" s="69" t="s">
        <v>511</v>
      </c>
      <c r="F139" s="68" t="s">
        <v>318</v>
      </c>
      <c r="G139" s="143">
        <f t="shared" si="1"/>
        <v>0</v>
      </c>
      <c r="H139" s="154">
        <f>H140+H141</f>
        <v>0</v>
      </c>
      <c r="I139" s="154">
        <f>I140+I141</f>
        <v>0</v>
      </c>
      <c r="J139" s="154">
        <f>J140+J141</f>
        <v>0</v>
      </c>
      <c r="K139" s="154">
        <f>K140+K141</f>
        <v>0</v>
      </c>
      <c r="L139" s="155"/>
      <c r="M139" s="52"/>
      <c r="P139" s="115"/>
    </row>
    <row r="140" spans="3:16" ht="12.75">
      <c r="C140" s="130"/>
      <c r="D140" s="107" t="s">
        <v>462</v>
      </c>
      <c r="E140" s="71" t="s">
        <v>283</v>
      </c>
      <c r="F140" s="68" t="s">
        <v>319</v>
      </c>
      <c r="G140" s="143">
        <f t="shared" si="1"/>
        <v>0</v>
      </c>
      <c r="H140" s="156"/>
      <c r="I140" s="156"/>
      <c r="J140" s="156"/>
      <c r="K140" s="156"/>
      <c r="L140" s="155"/>
      <c r="M140" s="52"/>
      <c r="P140" s="115"/>
    </row>
    <row r="141" spans="3:16" ht="12.75">
      <c r="C141" s="130"/>
      <c r="D141" s="107" t="s">
        <v>463</v>
      </c>
      <c r="E141" s="71" t="s">
        <v>320</v>
      </c>
      <c r="F141" s="68" t="s">
        <v>321</v>
      </c>
      <c r="G141" s="143">
        <f t="shared" si="1"/>
        <v>0</v>
      </c>
      <c r="H141" s="156"/>
      <c r="I141" s="156"/>
      <c r="J141" s="156"/>
      <c r="K141" s="156"/>
      <c r="L141" s="155"/>
      <c r="M141" s="52"/>
      <c r="P141" s="115"/>
    </row>
    <row r="142" spans="3:16" ht="12.75">
      <c r="C142" s="130"/>
      <c r="D142" s="107" t="s">
        <v>464</v>
      </c>
      <c r="E142" s="67" t="s">
        <v>515</v>
      </c>
      <c r="F142" s="68" t="s">
        <v>322</v>
      </c>
      <c r="G142" s="143">
        <f t="shared" si="1"/>
        <v>0</v>
      </c>
      <c r="H142" s="154">
        <f>H143+H145</f>
        <v>0</v>
      </c>
      <c r="I142" s="154">
        <f>I143+I145</f>
        <v>0</v>
      </c>
      <c r="J142" s="154">
        <f>J143+J145</f>
        <v>0</v>
      </c>
      <c r="K142" s="154">
        <f>K143+K145</f>
        <v>0</v>
      </c>
      <c r="L142" s="155"/>
      <c r="M142" s="52"/>
      <c r="P142" s="115">
        <v>870</v>
      </c>
    </row>
    <row r="143" spans="3:16" ht="12.75">
      <c r="C143" s="130"/>
      <c r="D143" s="107" t="s">
        <v>465</v>
      </c>
      <c r="E143" s="69" t="s">
        <v>519</v>
      </c>
      <c r="F143" s="68" t="s">
        <v>323</v>
      </c>
      <c r="G143" s="143">
        <f t="shared" si="1"/>
        <v>0</v>
      </c>
      <c r="H143" s="152"/>
      <c r="I143" s="152"/>
      <c r="J143" s="152"/>
      <c r="K143" s="152"/>
      <c r="L143" s="155"/>
      <c r="M143" s="52"/>
      <c r="P143" s="115">
        <v>880</v>
      </c>
    </row>
    <row r="144" spans="3:16" ht="12.75">
      <c r="C144" s="130"/>
      <c r="D144" s="107" t="s">
        <v>466</v>
      </c>
      <c r="E144" s="71" t="s">
        <v>520</v>
      </c>
      <c r="F144" s="68" t="s">
        <v>324</v>
      </c>
      <c r="G144" s="143">
        <f t="shared" si="1"/>
        <v>0</v>
      </c>
      <c r="H144" s="152"/>
      <c r="I144" s="152"/>
      <c r="J144" s="152"/>
      <c r="K144" s="152"/>
      <c r="L144" s="155"/>
      <c r="M144" s="52"/>
      <c r="P144" s="115"/>
    </row>
    <row r="145" spans="3:19" ht="12.75">
      <c r="C145" s="130"/>
      <c r="D145" s="107" t="s">
        <v>467</v>
      </c>
      <c r="E145" s="69" t="s">
        <v>169</v>
      </c>
      <c r="F145" s="68" t="s">
        <v>325</v>
      </c>
      <c r="G145" s="143">
        <f t="shared" si="1"/>
        <v>0</v>
      </c>
      <c r="H145" s="157"/>
      <c r="I145" s="157"/>
      <c r="J145" s="157"/>
      <c r="K145" s="157"/>
      <c r="L145" s="155"/>
      <c r="M145" s="52"/>
      <c r="P145" s="115">
        <v>890</v>
      </c>
    </row>
    <row r="146" spans="3:19" ht="22.5">
      <c r="C146" s="130"/>
      <c r="D146" s="107" t="s">
        <v>468</v>
      </c>
      <c r="E146" s="88" t="s">
        <v>522</v>
      </c>
      <c r="F146" s="68" t="s">
        <v>326</v>
      </c>
      <c r="G146" s="143">
        <f t="shared" si="1"/>
        <v>4124.176067976</v>
      </c>
      <c r="H146" s="158">
        <f>SUM( H147:H148)</f>
        <v>8.1472799999999998E-3</v>
      </c>
      <c r="I146" s="158">
        <f>SUM( I147:I148)</f>
        <v>3833.6901002160002</v>
      </c>
      <c r="J146" s="158">
        <f>SUM( J147:J148)</f>
        <v>197.37787032</v>
      </c>
      <c r="K146" s="158">
        <f>SUM( K147:K148)</f>
        <v>93.099950160000006</v>
      </c>
      <c r="L146" s="155"/>
      <c r="M146" s="52"/>
      <c r="P146" s="115">
        <v>900</v>
      </c>
    </row>
    <row r="147" spans="3:19" ht="12.75">
      <c r="C147" s="130"/>
      <c r="D147" s="107" t="s">
        <v>469</v>
      </c>
      <c r="E147" s="67" t="s">
        <v>167</v>
      </c>
      <c r="F147" s="68" t="s">
        <v>327</v>
      </c>
      <c r="G147" s="143">
        <f t="shared" si="1"/>
        <v>0</v>
      </c>
      <c r="H147" s="157"/>
      <c r="I147" s="157"/>
      <c r="J147" s="157"/>
      <c r="K147" s="157"/>
      <c r="L147" s="155"/>
      <c r="M147" s="52"/>
      <c r="P147" s="115"/>
    </row>
    <row r="148" spans="3:19" ht="12.75">
      <c r="C148" s="130"/>
      <c r="D148" s="107" t="s">
        <v>470</v>
      </c>
      <c r="E148" s="67" t="s">
        <v>507</v>
      </c>
      <c r="F148" s="68" t="s">
        <v>328</v>
      </c>
      <c r="G148" s="143">
        <f t="shared" si="1"/>
        <v>4124.176067976</v>
      </c>
      <c r="H148" s="158">
        <f>H149+H150</f>
        <v>8.1472799999999998E-3</v>
      </c>
      <c r="I148" s="158">
        <f>I149+I150</f>
        <v>3833.6901002160002</v>
      </c>
      <c r="J148" s="158">
        <f>J149+J150</f>
        <v>197.37787032</v>
      </c>
      <c r="K148" s="158">
        <f>K149+K150</f>
        <v>93.099950160000006</v>
      </c>
      <c r="L148" s="155"/>
      <c r="M148" s="52"/>
      <c r="P148" s="115"/>
    </row>
    <row r="149" spans="3:19" ht="12.75">
      <c r="C149" s="130"/>
      <c r="D149" s="107" t="s">
        <v>471</v>
      </c>
      <c r="E149" s="69" t="s">
        <v>168</v>
      </c>
      <c r="F149" s="68" t="s">
        <v>331</v>
      </c>
      <c r="G149" s="143">
        <f t="shared" si="1"/>
        <v>3505.7952582960002</v>
      </c>
      <c r="H149" s="157"/>
      <c r="I149" s="157">
        <f>I127*51778.46/1000*1.2</f>
        <v>3505.7952582960002</v>
      </c>
      <c r="J149" s="157"/>
      <c r="K149" s="157"/>
      <c r="L149" s="155"/>
      <c r="M149" s="52"/>
      <c r="P149" s="115" t="s">
        <v>329</v>
      </c>
    </row>
    <row r="150" spans="3:19" ht="12.75">
      <c r="C150" s="130"/>
      <c r="D150" s="107" t="s">
        <v>472</v>
      </c>
      <c r="E150" s="69" t="s">
        <v>169</v>
      </c>
      <c r="F150" s="68" t="s">
        <v>332</v>
      </c>
      <c r="G150" s="143">
        <f t="shared" si="1"/>
        <v>618.38080968000008</v>
      </c>
      <c r="H150" s="157">
        <f>H128*81.8/1000*1.2</f>
        <v>8.1472799999999998E-3</v>
      </c>
      <c r="I150" s="157">
        <f>I128*81.8/1000*1.2</f>
        <v>327.89484192000003</v>
      </c>
      <c r="J150" s="157">
        <f>J128*81.8/1000*1.2</f>
        <v>197.37787032</v>
      </c>
      <c r="K150" s="157">
        <f>K128*81.8/1000*1.2</f>
        <v>93.099950160000006</v>
      </c>
      <c r="L150" s="155"/>
      <c r="M150" s="52"/>
      <c r="P150" s="115" t="s">
        <v>330</v>
      </c>
    </row>
    <row r="151" spans="3:19">
      <c r="D151" s="135"/>
      <c r="E151" s="159"/>
      <c r="F151" s="159"/>
      <c r="G151" s="159"/>
      <c r="H151" s="159"/>
      <c r="I151" s="159"/>
      <c r="J151" s="159"/>
      <c r="K151" s="160"/>
      <c r="L151" s="160"/>
      <c r="M151" s="160"/>
      <c r="N151" s="160"/>
      <c r="O151" s="160"/>
      <c r="P151" s="160"/>
      <c r="Q151" s="160"/>
      <c r="R151" s="161"/>
      <c r="S151" s="161"/>
    </row>
    <row r="152" spans="3:19" ht="12.75">
      <c r="E152" s="52" t="s">
        <v>204</v>
      </c>
      <c r="F152" s="180" t="str">
        <f>IF([4]Титульный!G45="","",[4]Титульный!G45)</f>
        <v>ведущий экономист</v>
      </c>
      <c r="G152" s="180"/>
      <c r="H152" s="53"/>
      <c r="I152" s="180" t="str">
        <f>IF([4]Титульный!G44="","",[4]Титульный!G44)</f>
        <v>Кривнева Е.В.</v>
      </c>
      <c r="J152" s="180"/>
      <c r="K152" s="180"/>
      <c r="L152" s="53"/>
      <c r="M152" s="55"/>
      <c r="N152" s="55"/>
      <c r="O152" s="54"/>
      <c r="P152" s="160"/>
      <c r="Q152" s="160"/>
      <c r="R152" s="161"/>
      <c r="S152" s="161"/>
    </row>
    <row r="153" spans="3:19" ht="12.75">
      <c r="E153" s="56" t="s">
        <v>205</v>
      </c>
      <c r="F153" s="181" t="s">
        <v>176</v>
      </c>
      <c r="G153" s="181"/>
      <c r="H153" s="54"/>
      <c r="I153" s="181" t="s">
        <v>174</v>
      </c>
      <c r="J153" s="181"/>
      <c r="K153" s="181"/>
      <c r="L153" s="54"/>
      <c r="M153" s="181" t="s">
        <v>175</v>
      </c>
      <c r="N153" s="181"/>
      <c r="O153" s="52"/>
      <c r="P153" s="160"/>
      <c r="Q153" s="160"/>
      <c r="R153" s="161"/>
      <c r="S153" s="161"/>
    </row>
    <row r="154" spans="3:19" ht="12.75">
      <c r="E154" s="56" t="s">
        <v>206</v>
      </c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160"/>
      <c r="Q154" s="160"/>
      <c r="R154" s="161"/>
      <c r="S154" s="161"/>
    </row>
    <row r="155" spans="3:19" ht="12.75">
      <c r="E155" s="56" t="s">
        <v>207</v>
      </c>
      <c r="F155" s="180" t="str">
        <f>IF([4]Титульный!G46="","",[4]Титульный!G46)</f>
        <v>(861) 258-50-71</v>
      </c>
      <c r="G155" s="180"/>
      <c r="H155" s="180"/>
      <c r="I155" s="52"/>
      <c r="J155" s="56" t="s">
        <v>177</v>
      </c>
      <c r="K155" s="123"/>
      <c r="L155" s="52"/>
      <c r="M155" s="52"/>
      <c r="N155" s="52"/>
      <c r="O155" s="52"/>
      <c r="P155" s="160"/>
      <c r="Q155" s="160"/>
      <c r="R155" s="161"/>
      <c r="S155" s="161"/>
    </row>
    <row r="156" spans="3:19" ht="12.75">
      <c r="E156" s="52" t="s">
        <v>208</v>
      </c>
      <c r="F156" s="182" t="s">
        <v>178</v>
      </c>
      <c r="G156" s="182"/>
      <c r="H156" s="182"/>
      <c r="I156" s="52"/>
      <c r="J156" s="57" t="s">
        <v>179</v>
      </c>
      <c r="K156" s="57"/>
      <c r="L156" s="52"/>
      <c r="M156" s="52"/>
      <c r="N156" s="52"/>
      <c r="O156" s="52"/>
      <c r="P156" s="160"/>
      <c r="Q156" s="160"/>
      <c r="R156" s="161"/>
      <c r="S156" s="161"/>
    </row>
    <row r="157" spans="3:19"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1"/>
      <c r="S157" s="161"/>
    </row>
    <row r="158" spans="3:19"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1"/>
      <c r="S158" s="161"/>
    </row>
    <row r="159" spans="3:19"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1"/>
      <c r="S159" s="161"/>
    </row>
    <row r="160" spans="3:19"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1"/>
      <c r="S160" s="161"/>
    </row>
    <row r="161" spans="5:19"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1"/>
      <c r="S161" s="161"/>
    </row>
    <row r="162" spans="5:19"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1"/>
      <c r="S162" s="161"/>
    </row>
    <row r="163" spans="5:19"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1"/>
      <c r="S163" s="161"/>
    </row>
    <row r="164" spans="5:19"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1"/>
      <c r="S164" s="161"/>
    </row>
    <row r="165" spans="5:19">
      <c r="E165" s="160"/>
      <c r="F165" s="160"/>
      <c r="G165" s="160"/>
      <c r="H165" s="160"/>
      <c r="I165" s="160"/>
      <c r="J165" s="160"/>
      <c r="K165" s="160"/>
      <c r="L165" s="160"/>
      <c r="M165" s="160"/>
      <c r="N165" s="160"/>
      <c r="O165" s="160"/>
      <c r="P165" s="160"/>
      <c r="Q165" s="160"/>
      <c r="R165" s="161"/>
      <c r="S165" s="161"/>
    </row>
    <row r="166" spans="5:19">
      <c r="E166" s="160"/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1"/>
      <c r="S166" s="161"/>
    </row>
    <row r="167" spans="5:19"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1"/>
      <c r="S167" s="161"/>
    </row>
    <row r="168" spans="5:19"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1"/>
      <c r="S168" s="161"/>
    </row>
    <row r="169" spans="5:19"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1"/>
      <c r="S169" s="161"/>
    </row>
    <row r="170" spans="5:19"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1"/>
      <c r="S170" s="161"/>
    </row>
    <row r="171" spans="5:19"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1"/>
      <c r="S171" s="161"/>
    </row>
    <row r="172" spans="5:19"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1"/>
      <c r="S172" s="161"/>
    </row>
    <row r="173" spans="5:19"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1"/>
      <c r="S173" s="161"/>
    </row>
    <row r="174" spans="5:19"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1"/>
      <c r="S174" s="161"/>
    </row>
    <row r="175" spans="5:19"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1"/>
      <c r="S175" s="161"/>
    </row>
    <row r="176" spans="5:19"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1"/>
      <c r="S176" s="161"/>
    </row>
    <row r="177" spans="5:19"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1"/>
      <c r="S177" s="161"/>
    </row>
    <row r="178" spans="5:19"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1"/>
      <c r="S178" s="161"/>
    </row>
    <row r="179" spans="5:19"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1"/>
      <c r="S179" s="161"/>
    </row>
    <row r="180" spans="5:19"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1"/>
      <c r="S180" s="161"/>
    </row>
    <row r="181" spans="5:19"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1"/>
      <c r="S181" s="161"/>
    </row>
    <row r="182" spans="5:19"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</row>
    <row r="183" spans="5:19">
      <c r="E183" s="161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</row>
    <row r="184" spans="5:19"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</row>
    <row r="185" spans="5:19"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  <c r="P185" s="161"/>
      <c r="Q185" s="161"/>
      <c r="R185" s="161"/>
      <c r="S185" s="161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42 E25:E26 E81 E64:E65"/>
    <dataValidation type="decimal" allowBlank="1" showErrorMessage="1" errorTitle="Ошибка" error="Допускается ввод только действительных чисел!" sqref="G62:K65 G93:K95 G67:K81 G15:K18 G83:K91 G97:K128 G23:K26 G44:K52 G28:K42 G130:K150 G59:K60 G20:K21 G54:K57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tistic">
    <tabColor indexed="47"/>
  </sheetPr>
  <dimension ref="A1:C99"/>
  <sheetViews>
    <sheetView showGridLines="0" workbookViewId="0">
      <selection activeCell="C28" sqref="C28"/>
    </sheetView>
  </sheetViews>
  <sheetFormatPr defaultRowHeight="11.25"/>
  <cols>
    <col min="1" max="1" width="20" style="41" customWidth="1"/>
    <col min="2" max="2" width="9.140625" style="41"/>
    <col min="3" max="3" width="22" style="41" customWidth="1"/>
    <col min="4" max="16384" width="9.140625" style="41"/>
  </cols>
  <sheetData>
    <row r="1" spans="1:3">
      <c r="A1" s="41">
        <v>99</v>
      </c>
    </row>
    <row r="2" spans="1:3">
      <c r="A2" s="41" t="s">
        <v>189</v>
      </c>
      <c r="B2" s="41" t="s">
        <v>190</v>
      </c>
      <c r="C2" s="41" t="s">
        <v>191</v>
      </c>
    </row>
    <row r="3" spans="1:3">
      <c r="A3" s="41" t="s">
        <v>195</v>
      </c>
      <c r="B3" s="41" t="s">
        <v>190</v>
      </c>
      <c r="C3" s="41" t="s">
        <v>191</v>
      </c>
    </row>
    <row r="4" spans="1:3">
      <c r="A4" s="41" t="s">
        <v>199</v>
      </c>
      <c r="B4" s="41" t="s">
        <v>190</v>
      </c>
      <c r="C4" s="41" t="s">
        <v>191</v>
      </c>
    </row>
    <row r="5" spans="1:3">
      <c r="A5" s="41" t="s">
        <v>276</v>
      </c>
      <c r="B5" s="41" t="s">
        <v>190</v>
      </c>
      <c r="C5" s="41" t="s">
        <v>191</v>
      </c>
    </row>
    <row r="6" spans="1:3">
      <c r="A6" s="41" t="s">
        <v>333</v>
      </c>
      <c r="B6" s="41" t="s">
        <v>190</v>
      </c>
      <c r="C6" s="41" t="s">
        <v>191</v>
      </c>
    </row>
    <row r="7" spans="1:3">
      <c r="A7" s="41" t="s">
        <v>337</v>
      </c>
      <c r="B7" s="41" t="s">
        <v>190</v>
      </c>
      <c r="C7" s="41" t="s">
        <v>191</v>
      </c>
    </row>
    <row r="8" spans="1:3">
      <c r="A8" s="41" t="s">
        <v>338</v>
      </c>
      <c r="B8" s="41" t="s">
        <v>190</v>
      </c>
      <c r="C8" s="41" t="s">
        <v>191</v>
      </c>
    </row>
    <row r="9" spans="1:3">
      <c r="A9" s="41" t="s">
        <v>343</v>
      </c>
      <c r="B9" s="41" t="s">
        <v>190</v>
      </c>
      <c r="C9" s="41" t="s">
        <v>191</v>
      </c>
    </row>
    <row r="10" spans="1:3">
      <c r="A10" s="41" t="s">
        <v>344</v>
      </c>
      <c r="B10" s="41" t="s">
        <v>190</v>
      </c>
      <c r="C10" s="41" t="s">
        <v>191</v>
      </c>
    </row>
    <row r="11" spans="1:3">
      <c r="A11" s="41" t="s">
        <v>345</v>
      </c>
      <c r="B11" s="41" t="s">
        <v>190</v>
      </c>
      <c r="C11" s="41" t="s">
        <v>191</v>
      </c>
    </row>
    <row r="12" spans="1:3">
      <c r="A12" s="41" t="s">
        <v>346</v>
      </c>
      <c r="B12" s="41" t="s">
        <v>190</v>
      </c>
      <c r="C12" s="41" t="s">
        <v>191</v>
      </c>
    </row>
    <row r="13" spans="1:3">
      <c r="A13" s="41" t="s">
        <v>347</v>
      </c>
      <c r="B13" s="41" t="s">
        <v>190</v>
      </c>
      <c r="C13" s="41" t="s">
        <v>191</v>
      </c>
    </row>
    <row r="14" spans="1:3">
      <c r="A14" s="41" t="s">
        <v>348</v>
      </c>
      <c r="B14" s="41" t="s">
        <v>190</v>
      </c>
      <c r="C14" s="41" t="s">
        <v>191</v>
      </c>
    </row>
    <row r="15" spans="1:3">
      <c r="A15" s="41" t="s">
        <v>349</v>
      </c>
      <c r="B15" s="41" t="s">
        <v>190</v>
      </c>
      <c r="C15" s="41" t="s">
        <v>191</v>
      </c>
    </row>
    <row r="16" spans="1:3">
      <c r="A16" s="41" t="s">
        <v>350</v>
      </c>
      <c r="B16" s="41" t="s">
        <v>190</v>
      </c>
      <c r="C16" s="41" t="s">
        <v>191</v>
      </c>
    </row>
    <row r="17" spans="1:3">
      <c r="A17" s="41" t="s">
        <v>351</v>
      </c>
      <c r="B17" s="41" t="s">
        <v>190</v>
      </c>
      <c r="C17" s="41" t="s">
        <v>191</v>
      </c>
    </row>
    <row r="18" spans="1:3">
      <c r="A18" s="41" t="s">
        <v>352</v>
      </c>
      <c r="B18" s="41" t="s">
        <v>190</v>
      </c>
      <c r="C18" s="41" t="s">
        <v>191</v>
      </c>
    </row>
    <row r="19" spans="1:3">
      <c r="A19" s="41" t="s">
        <v>353</v>
      </c>
      <c r="B19" s="41" t="s">
        <v>190</v>
      </c>
      <c r="C19" s="41" t="s">
        <v>191</v>
      </c>
    </row>
    <row r="20" spans="1:3">
      <c r="A20" s="41" t="s">
        <v>354</v>
      </c>
      <c r="B20" s="41" t="s">
        <v>190</v>
      </c>
      <c r="C20" s="41" t="s">
        <v>191</v>
      </c>
    </row>
    <row r="21" spans="1:3">
      <c r="A21" s="41" t="s">
        <v>355</v>
      </c>
      <c r="B21" s="41" t="s">
        <v>190</v>
      </c>
      <c r="C21" s="41" t="s">
        <v>191</v>
      </c>
    </row>
    <row r="22" spans="1:3">
      <c r="A22" s="41" t="s">
        <v>356</v>
      </c>
      <c r="B22" s="41" t="s">
        <v>190</v>
      </c>
      <c r="C22" s="41" t="s">
        <v>191</v>
      </c>
    </row>
    <row r="23" spans="1:3">
      <c r="A23" s="41" t="s">
        <v>357</v>
      </c>
      <c r="B23" s="41" t="s">
        <v>190</v>
      </c>
      <c r="C23" s="41" t="s">
        <v>191</v>
      </c>
    </row>
    <row r="24" spans="1:3">
      <c r="A24" s="41" t="s">
        <v>358</v>
      </c>
      <c r="B24" s="41" t="s">
        <v>190</v>
      </c>
      <c r="C24" s="41" t="s">
        <v>191</v>
      </c>
    </row>
    <row r="25" spans="1:3">
      <c r="A25" s="41" t="s">
        <v>359</v>
      </c>
      <c r="B25" s="41" t="s">
        <v>190</v>
      </c>
      <c r="C25" s="41" t="s">
        <v>191</v>
      </c>
    </row>
    <row r="26" spans="1:3">
      <c r="A26" s="41" t="s">
        <v>360</v>
      </c>
      <c r="B26" s="41" t="s">
        <v>190</v>
      </c>
      <c r="C26" s="41" t="s">
        <v>191</v>
      </c>
    </row>
    <row r="27" spans="1:3">
      <c r="A27" s="41" t="s">
        <v>362</v>
      </c>
      <c r="B27" s="41" t="s">
        <v>190</v>
      </c>
      <c r="C27" s="41" t="s">
        <v>191</v>
      </c>
    </row>
    <row r="28" spans="1:3">
      <c r="A28" s="41" t="s">
        <v>363</v>
      </c>
      <c r="B28" s="41" t="s">
        <v>190</v>
      </c>
      <c r="C28" s="41" t="s">
        <v>191</v>
      </c>
    </row>
    <row r="29" spans="1:3">
      <c r="A29" s="41" t="s">
        <v>364</v>
      </c>
      <c r="B29" s="41" t="s">
        <v>190</v>
      </c>
      <c r="C29" s="41" t="s">
        <v>191</v>
      </c>
    </row>
    <row r="30" spans="1:3">
      <c r="A30" s="41" t="s">
        <v>365</v>
      </c>
      <c r="B30" s="41" t="s">
        <v>190</v>
      </c>
      <c r="C30" s="41" t="s">
        <v>191</v>
      </c>
    </row>
    <row r="31" spans="1:3">
      <c r="A31" s="41" t="s">
        <v>366</v>
      </c>
      <c r="B31" s="41" t="s">
        <v>190</v>
      </c>
      <c r="C31" s="41" t="s">
        <v>191</v>
      </c>
    </row>
    <row r="32" spans="1:3">
      <c r="A32" s="41" t="s">
        <v>367</v>
      </c>
      <c r="B32" s="41" t="s">
        <v>190</v>
      </c>
      <c r="C32" s="41" t="s">
        <v>191</v>
      </c>
    </row>
    <row r="33" spans="1:3">
      <c r="A33" s="41" t="s">
        <v>368</v>
      </c>
      <c r="B33" s="41" t="s">
        <v>190</v>
      </c>
      <c r="C33" s="41" t="s">
        <v>191</v>
      </c>
    </row>
    <row r="34" spans="1:3">
      <c r="A34" s="41" t="s">
        <v>369</v>
      </c>
      <c r="B34" s="41" t="s">
        <v>190</v>
      </c>
      <c r="C34" s="41" t="s">
        <v>191</v>
      </c>
    </row>
    <row r="35" spans="1:3">
      <c r="A35" s="41" t="s">
        <v>492</v>
      </c>
      <c r="B35" s="41" t="s">
        <v>190</v>
      </c>
      <c r="C35" s="41" t="s">
        <v>191</v>
      </c>
    </row>
    <row r="36" spans="1:3">
      <c r="A36" s="41" t="s">
        <v>493</v>
      </c>
      <c r="B36" s="41" t="s">
        <v>190</v>
      </c>
      <c r="C36" s="41" t="s">
        <v>191</v>
      </c>
    </row>
    <row r="37" spans="1:3">
      <c r="A37" s="41" t="s">
        <v>494</v>
      </c>
      <c r="B37" s="41" t="s">
        <v>190</v>
      </c>
      <c r="C37" s="41" t="s">
        <v>191</v>
      </c>
    </row>
    <row r="38" spans="1:3">
      <c r="A38" s="41" t="s">
        <v>495</v>
      </c>
      <c r="B38" s="41" t="s">
        <v>190</v>
      </c>
      <c r="C38" s="41" t="s">
        <v>191</v>
      </c>
    </row>
    <row r="39" spans="1:3">
      <c r="A39" s="41" t="s">
        <v>523</v>
      </c>
      <c r="B39" s="41" t="s">
        <v>190</v>
      </c>
      <c r="C39" s="41" t="s">
        <v>191</v>
      </c>
    </row>
    <row r="40" spans="1:3">
      <c r="A40" s="41" t="s">
        <v>524</v>
      </c>
      <c r="B40" s="41" t="s">
        <v>190</v>
      </c>
      <c r="C40" s="41" t="s">
        <v>191</v>
      </c>
    </row>
    <row r="41" spans="1:3">
      <c r="A41" s="41" t="s">
        <v>527</v>
      </c>
      <c r="B41" s="41" t="s">
        <v>528</v>
      </c>
      <c r="C41" s="41" t="s">
        <v>191</v>
      </c>
    </row>
    <row r="42" spans="1:3">
      <c r="A42" s="41" t="s">
        <v>1878</v>
      </c>
      <c r="B42" s="41" t="s">
        <v>528</v>
      </c>
      <c r="C42" s="41" t="s">
        <v>191</v>
      </c>
    </row>
    <row r="43" spans="1:3">
      <c r="A43" s="41" t="s">
        <v>1879</v>
      </c>
      <c r="B43" s="41" t="s">
        <v>528</v>
      </c>
      <c r="C43" s="41" t="s">
        <v>191</v>
      </c>
    </row>
    <row r="44" spans="1:3">
      <c r="A44" s="41" t="s">
        <v>1883</v>
      </c>
      <c r="B44" s="41" t="s">
        <v>528</v>
      </c>
      <c r="C44" s="41" t="s">
        <v>191</v>
      </c>
    </row>
    <row r="45" spans="1:3">
      <c r="A45" s="41" t="s">
        <v>1888</v>
      </c>
      <c r="B45" s="41" t="s">
        <v>528</v>
      </c>
      <c r="C45" s="41" t="s">
        <v>191</v>
      </c>
    </row>
    <row r="46" spans="1:3">
      <c r="A46" s="41" t="s">
        <v>1891</v>
      </c>
      <c r="B46" s="41" t="s">
        <v>528</v>
      </c>
      <c r="C46" s="41" t="s">
        <v>191</v>
      </c>
    </row>
    <row r="47" spans="1:3">
      <c r="A47" s="41" t="s">
        <v>1897</v>
      </c>
      <c r="B47" s="41" t="s">
        <v>528</v>
      </c>
      <c r="C47" s="41" t="s">
        <v>191</v>
      </c>
    </row>
    <row r="48" spans="1:3">
      <c r="A48" s="41" t="s">
        <v>1905</v>
      </c>
      <c r="B48" s="41" t="s">
        <v>1906</v>
      </c>
      <c r="C48" s="41" t="s">
        <v>1907</v>
      </c>
    </row>
    <row r="49" spans="1:3">
      <c r="A49" s="41" t="s">
        <v>1935</v>
      </c>
      <c r="B49" s="41" t="s">
        <v>1906</v>
      </c>
      <c r="C49" s="41" t="s">
        <v>1907</v>
      </c>
    </row>
    <row r="50" spans="1:3">
      <c r="A50" s="41" t="s">
        <v>1938</v>
      </c>
      <c r="B50" s="41" t="s">
        <v>1906</v>
      </c>
      <c r="C50" s="41" t="s">
        <v>1907</v>
      </c>
    </row>
    <row r="51" spans="1:3">
      <c r="A51" s="41" t="s">
        <v>1950</v>
      </c>
      <c r="B51" s="41" t="s">
        <v>1906</v>
      </c>
      <c r="C51" s="41" t="s">
        <v>1907</v>
      </c>
    </row>
    <row r="52" spans="1:3">
      <c r="A52" s="41" t="s">
        <v>1951</v>
      </c>
      <c r="B52" s="41" t="s">
        <v>1906</v>
      </c>
      <c r="C52" s="41" t="s">
        <v>1907</v>
      </c>
    </row>
    <row r="53" spans="1:3">
      <c r="A53" s="41" t="s">
        <v>1952</v>
      </c>
      <c r="B53" s="41" t="s">
        <v>1906</v>
      </c>
      <c r="C53" s="41" t="s">
        <v>1907</v>
      </c>
    </row>
    <row r="54" spans="1:3">
      <c r="A54" s="41" t="s">
        <v>1953</v>
      </c>
      <c r="B54" s="41" t="s">
        <v>1906</v>
      </c>
      <c r="C54" s="41" t="s">
        <v>1907</v>
      </c>
    </row>
    <row r="55" spans="1:3">
      <c r="A55" s="41" t="s">
        <v>1963</v>
      </c>
      <c r="B55" s="41" t="s">
        <v>1906</v>
      </c>
      <c r="C55" s="41" t="s">
        <v>1907</v>
      </c>
    </row>
    <row r="56" spans="1:3">
      <c r="A56" s="41" t="s">
        <v>1964</v>
      </c>
      <c r="B56" s="41" t="s">
        <v>1906</v>
      </c>
      <c r="C56" s="41" t="s">
        <v>1907</v>
      </c>
    </row>
    <row r="57" spans="1:3">
      <c r="A57" s="41" t="s">
        <v>1965</v>
      </c>
      <c r="B57" s="41" t="s">
        <v>528</v>
      </c>
      <c r="C57" s="41" t="s">
        <v>191</v>
      </c>
    </row>
    <row r="58" spans="1:3">
      <c r="A58" s="41" t="s">
        <v>1979</v>
      </c>
      <c r="B58" s="41" t="s">
        <v>190</v>
      </c>
      <c r="C58" s="41" t="s">
        <v>1980</v>
      </c>
    </row>
    <row r="59" spans="1:3">
      <c r="A59" s="41" t="s">
        <v>1981</v>
      </c>
      <c r="B59" s="41" t="s">
        <v>190</v>
      </c>
      <c r="C59" s="41" t="s">
        <v>1980</v>
      </c>
    </row>
    <row r="60" spans="1:3">
      <c r="A60" s="41" t="s">
        <v>1982</v>
      </c>
      <c r="B60" s="41" t="s">
        <v>528</v>
      </c>
      <c r="C60" s="41" t="s">
        <v>191</v>
      </c>
    </row>
    <row r="61" spans="1:3">
      <c r="A61" s="41" t="s">
        <v>1988</v>
      </c>
      <c r="B61" s="41" t="s">
        <v>190</v>
      </c>
      <c r="C61" s="41" t="s">
        <v>1980</v>
      </c>
    </row>
    <row r="62" spans="1:3">
      <c r="A62" s="41" t="s">
        <v>1989</v>
      </c>
      <c r="B62" s="41" t="s">
        <v>528</v>
      </c>
      <c r="C62" s="41" t="s">
        <v>191</v>
      </c>
    </row>
    <row r="63" spans="1:3">
      <c r="A63" s="41" t="s">
        <v>1990</v>
      </c>
      <c r="B63" s="41" t="s">
        <v>528</v>
      </c>
      <c r="C63" s="41" t="s">
        <v>191</v>
      </c>
    </row>
    <row r="64" spans="1:3">
      <c r="A64" s="41" t="s">
        <v>1995</v>
      </c>
      <c r="B64" s="41" t="s">
        <v>528</v>
      </c>
      <c r="C64" s="41" t="s">
        <v>191</v>
      </c>
    </row>
    <row r="65" spans="1:3">
      <c r="A65" s="41" t="s">
        <v>1996</v>
      </c>
      <c r="B65" s="41" t="s">
        <v>190</v>
      </c>
      <c r="C65" s="41" t="s">
        <v>1980</v>
      </c>
    </row>
    <row r="66" spans="1:3">
      <c r="A66" s="41" t="s">
        <v>1997</v>
      </c>
      <c r="B66" s="41" t="s">
        <v>528</v>
      </c>
      <c r="C66" s="41" t="s">
        <v>191</v>
      </c>
    </row>
    <row r="67" spans="1:3">
      <c r="A67" s="41" t="s">
        <v>2001</v>
      </c>
      <c r="B67" s="41" t="s">
        <v>528</v>
      </c>
      <c r="C67" s="41" t="s">
        <v>191</v>
      </c>
    </row>
    <row r="68" spans="1:3">
      <c r="A68" s="41" t="s">
        <v>2002</v>
      </c>
      <c r="B68" s="41" t="s">
        <v>528</v>
      </c>
      <c r="C68" s="41" t="s">
        <v>191</v>
      </c>
    </row>
    <row r="69" spans="1:3">
      <c r="A69" s="41" t="s">
        <v>2003</v>
      </c>
      <c r="B69" s="41" t="s">
        <v>190</v>
      </c>
      <c r="C69" s="41" t="s">
        <v>1980</v>
      </c>
    </row>
    <row r="70" spans="1:3">
      <c r="A70" s="41" t="s">
        <v>2014</v>
      </c>
      <c r="B70" s="41" t="s">
        <v>190</v>
      </c>
      <c r="C70" s="41" t="s">
        <v>1980</v>
      </c>
    </row>
    <row r="71" spans="1:3">
      <c r="A71" s="41" t="s">
        <v>2015</v>
      </c>
      <c r="B71" s="41" t="s">
        <v>190</v>
      </c>
      <c r="C71" s="41" t="s">
        <v>1980</v>
      </c>
    </row>
    <row r="72" spans="1:3">
      <c r="A72" s="41" t="s">
        <v>2016</v>
      </c>
      <c r="B72" s="41" t="s">
        <v>190</v>
      </c>
      <c r="C72" s="41" t="s">
        <v>1980</v>
      </c>
    </row>
    <row r="73" spans="1:3">
      <c r="A73" s="41" t="s">
        <v>2017</v>
      </c>
      <c r="B73" s="41" t="s">
        <v>190</v>
      </c>
      <c r="C73" s="41" t="s">
        <v>1980</v>
      </c>
    </row>
    <row r="74" spans="1:3">
      <c r="A74" s="41" t="s">
        <v>2018</v>
      </c>
      <c r="B74" s="41" t="s">
        <v>190</v>
      </c>
      <c r="C74" s="41" t="s">
        <v>1980</v>
      </c>
    </row>
    <row r="75" spans="1:3">
      <c r="A75" s="41" t="s">
        <v>2022</v>
      </c>
      <c r="B75" s="41" t="s">
        <v>190</v>
      </c>
      <c r="C75" s="41" t="s">
        <v>1980</v>
      </c>
    </row>
    <row r="76" spans="1:3">
      <c r="A76" s="41" t="s">
        <v>2023</v>
      </c>
      <c r="B76" s="41" t="s">
        <v>190</v>
      </c>
      <c r="C76" s="41" t="s">
        <v>1980</v>
      </c>
    </row>
    <row r="77" spans="1:3">
      <c r="A77" s="41" t="s">
        <v>2028</v>
      </c>
      <c r="B77" s="41" t="s">
        <v>190</v>
      </c>
      <c r="C77" s="41" t="s">
        <v>1980</v>
      </c>
    </row>
    <row r="78" spans="1:3">
      <c r="A78" s="41" t="s">
        <v>2034</v>
      </c>
      <c r="B78" s="41" t="s">
        <v>190</v>
      </c>
      <c r="C78" s="41" t="s">
        <v>1980</v>
      </c>
    </row>
    <row r="79" spans="1:3">
      <c r="A79" s="41" t="s">
        <v>2048</v>
      </c>
      <c r="B79" s="41" t="s">
        <v>190</v>
      </c>
      <c r="C79" s="41" t="s">
        <v>1980</v>
      </c>
    </row>
    <row r="80" spans="1:3">
      <c r="A80" s="41" t="s">
        <v>2053</v>
      </c>
      <c r="B80" s="41" t="s">
        <v>190</v>
      </c>
      <c r="C80" s="41" t="s">
        <v>1980</v>
      </c>
    </row>
    <row r="81" spans="1:3">
      <c r="A81" s="41" t="s">
        <v>2058</v>
      </c>
      <c r="B81" s="41" t="s">
        <v>190</v>
      </c>
      <c r="C81" s="41" t="s">
        <v>1980</v>
      </c>
    </row>
    <row r="82" spans="1:3">
      <c r="A82" s="41" t="s">
        <v>2059</v>
      </c>
      <c r="B82" s="41" t="s">
        <v>190</v>
      </c>
      <c r="C82" s="41" t="s">
        <v>1980</v>
      </c>
    </row>
    <row r="83" spans="1:3">
      <c r="A83" s="41" t="s">
        <v>2071</v>
      </c>
      <c r="B83" s="41" t="s">
        <v>190</v>
      </c>
      <c r="C83" s="41" t="s">
        <v>1980</v>
      </c>
    </row>
    <row r="84" spans="1:3">
      <c r="A84" s="41" t="s">
        <v>2074</v>
      </c>
      <c r="B84" s="41" t="s">
        <v>190</v>
      </c>
      <c r="C84" s="41" t="s">
        <v>1980</v>
      </c>
    </row>
    <row r="85" spans="1:3">
      <c r="A85" s="41" t="s">
        <v>2075</v>
      </c>
      <c r="B85" s="41" t="s">
        <v>528</v>
      </c>
      <c r="C85" s="41" t="s">
        <v>191</v>
      </c>
    </row>
    <row r="86" spans="1:3">
      <c r="A86" s="41" t="s">
        <v>2109</v>
      </c>
      <c r="B86" s="41" t="s">
        <v>528</v>
      </c>
      <c r="C86" s="41" t="s">
        <v>191</v>
      </c>
    </row>
    <row r="87" spans="1:3">
      <c r="A87" s="41" t="s">
        <v>2111</v>
      </c>
      <c r="B87" s="41" t="s">
        <v>528</v>
      </c>
      <c r="C87" s="41" t="s">
        <v>191</v>
      </c>
    </row>
    <row r="88" spans="1:3">
      <c r="A88" s="41" t="s">
        <v>2112</v>
      </c>
      <c r="B88" s="41" t="s">
        <v>528</v>
      </c>
      <c r="C88" s="41" t="s">
        <v>191</v>
      </c>
    </row>
    <row r="89" spans="1:3">
      <c r="A89" s="41" t="s">
        <v>2113</v>
      </c>
      <c r="B89" s="41" t="s">
        <v>190</v>
      </c>
      <c r="C89" s="41" t="s">
        <v>1980</v>
      </c>
    </row>
    <row r="90" spans="1:3">
      <c r="A90" s="41" t="s">
        <v>2114</v>
      </c>
      <c r="B90" s="41" t="s">
        <v>190</v>
      </c>
      <c r="C90" s="41" t="s">
        <v>1980</v>
      </c>
    </row>
    <row r="91" spans="1:3">
      <c r="A91" s="41" t="s">
        <v>2115</v>
      </c>
      <c r="B91" s="41" t="s">
        <v>190</v>
      </c>
      <c r="C91" s="41" t="s">
        <v>1980</v>
      </c>
    </row>
    <row r="92" spans="1:3">
      <c r="A92" s="41" t="s">
        <v>2117</v>
      </c>
      <c r="B92" s="41" t="s">
        <v>190</v>
      </c>
      <c r="C92" s="41" t="s">
        <v>1980</v>
      </c>
    </row>
    <row r="93" spans="1:3">
      <c r="A93" s="41" t="s">
        <v>2119</v>
      </c>
      <c r="B93" s="41" t="s">
        <v>190</v>
      </c>
      <c r="C93" s="41" t="s">
        <v>1980</v>
      </c>
    </row>
    <row r="94" spans="1:3">
      <c r="A94" s="41" t="s">
        <v>2120</v>
      </c>
      <c r="B94" s="41" t="s">
        <v>190</v>
      </c>
      <c r="C94" s="41" t="s">
        <v>1980</v>
      </c>
    </row>
    <row r="95" spans="1:3">
      <c r="A95" s="41" t="s">
        <v>2127</v>
      </c>
      <c r="B95" s="41" t="s">
        <v>190</v>
      </c>
      <c r="C95" s="41" t="s">
        <v>1980</v>
      </c>
    </row>
    <row r="96" spans="1:3">
      <c r="A96" s="41" t="s">
        <v>2128</v>
      </c>
      <c r="B96" s="41" t="s">
        <v>190</v>
      </c>
      <c r="C96" s="41" t="s">
        <v>1980</v>
      </c>
    </row>
    <row r="97" spans="1:3">
      <c r="A97" s="41" t="s">
        <v>2129</v>
      </c>
      <c r="B97" s="41" t="s">
        <v>190</v>
      </c>
      <c r="C97" s="41" t="s">
        <v>1980</v>
      </c>
    </row>
    <row r="98" spans="1:3">
      <c r="A98" s="41" t="s">
        <v>2134</v>
      </c>
      <c r="B98" s="41" t="s">
        <v>190</v>
      </c>
      <c r="C98" s="41" t="s">
        <v>1980</v>
      </c>
    </row>
    <row r="99" spans="1:3">
      <c r="A99" s="41" t="s">
        <v>2136</v>
      </c>
      <c r="B99" s="41" t="s">
        <v>190</v>
      </c>
      <c r="C99" s="41" t="s">
        <v>1980</v>
      </c>
    </row>
  </sheetData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C185"/>
  <sheetViews>
    <sheetView topLeftCell="C118" workbookViewId="0">
      <selection activeCell="D129" sqref="D129:K129"/>
    </sheetView>
  </sheetViews>
  <sheetFormatPr defaultRowHeight="11.25"/>
  <cols>
    <col min="1" max="2" width="9.140625" style="125" hidden="1" customWidth="1"/>
    <col min="3" max="3" width="4.140625" style="125" customWidth="1"/>
    <col min="4" max="4" width="9.140625" style="125" customWidth="1"/>
    <col min="5" max="5" width="69" style="125" customWidth="1"/>
    <col min="6" max="6" width="6.7109375" style="125" customWidth="1"/>
    <col min="7" max="11" width="15.7109375" style="125" customWidth="1"/>
    <col min="12" max="12" width="6.7109375" style="125" customWidth="1"/>
    <col min="13" max="16" width="15.7109375" style="125" customWidth="1"/>
    <col min="17" max="35" width="11.7109375" style="125" customWidth="1"/>
    <col min="36" max="16384" width="9.140625" style="125"/>
  </cols>
  <sheetData>
    <row r="1" spans="1:81" hidden="1">
      <c r="S1" s="126"/>
      <c r="T1" s="126"/>
      <c r="U1" s="126"/>
      <c r="V1" s="126"/>
      <c r="Y1" s="126"/>
      <c r="AA1" s="126"/>
      <c r="AN1" s="126"/>
      <c r="AO1" s="126"/>
      <c r="AP1" s="126"/>
      <c r="BC1" s="126"/>
      <c r="BF1" s="126"/>
      <c r="BG1" s="126"/>
      <c r="BI1" s="126"/>
      <c r="BM1" s="126"/>
      <c r="BO1" s="126"/>
      <c r="BX1" s="126"/>
      <c r="BY1" s="126"/>
      <c r="CC1" s="126"/>
    </row>
    <row r="2" spans="1:81" hidden="1"/>
    <row r="3" spans="1:81" hidden="1"/>
    <row r="4" spans="1:81" hidden="1">
      <c r="A4" s="127"/>
      <c r="F4" s="128"/>
      <c r="G4" s="128"/>
      <c r="H4" s="128"/>
      <c r="I4" s="128"/>
      <c r="J4" s="128"/>
      <c r="K4" s="128"/>
      <c r="M4" s="128"/>
      <c r="N4" s="128"/>
      <c r="O4" s="128"/>
      <c r="P4" s="128"/>
      <c r="Q4" s="128"/>
    </row>
    <row r="5" spans="1:81" hidden="1">
      <c r="A5" s="129"/>
      <c r="F5" s="125" t="s">
        <v>142</v>
      </c>
      <c r="G5" s="125" t="s">
        <v>143</v>
      </c>
      <c r="H5" s="125" t="s">
        <v>144</v>
      </c>
      <c r="I5" s="125" t="s">
        <v>145</v>
      </c>
      <c r="J5" s="125" t="s">
        <v>146</v>
      </c>
      <c r="K5" s="125" t="s">
        <v>147</v>
      </c>
      <c r="L5" s="125" t="s">
        <v>148</v>
      </c>
      <c r="M5" s="125" t="s">
        <v>149</v>
      </c>
      <c r="N5" s="125" t="s">
        <v>149</v>
      </c>
      <c r="O5" s="125" t="s">
        <v>150</v>
      </c>
      <c r="P5" s="125" t="s">
        <v>151</v>
      </c>
      <c r="Q5" s="125" t="s">
        <v>152</v>
      </c>
    </row>
    <row r="6" spans="1:81" hidden="1">
      <c r="A6" s="129"/>
    </row>
    <row r="7" spans="1:81" ht="12" customHeight="1">
      <c r="A7" s="129"/>
      <c r="D7" s="130"/>
      <c r="E7" s="130"/>
      <c r="F7" s="130"/>
      <c r="G7" s="130"/>
      <c r="H7" s="130"/>
      <c r="I7" s="130"/>
      <c r="J7" s="130"/>
      <c r="K7" s="131"/>
      <c r="Q7" s="132"/>
    </row>
    <row r="8" spans="1:81" ht="22.5" customHeight="1">
      <c r="A8" s="129"/>
      <c r="D8" s="183" t="s">
        <v>153</v>
      </c>
      <c r="E8" s="18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</row>
    <row r="9" spans="1:81">
      <c r="A9" s="129"/>
      <c r="D9" s="164">
        <v>44713</v>
      </c>
      <c r="E9" s="134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</row>
    <row r="10" spans="1:81" ht="12" customHeight="1">
      <c r="D10" s="135"/>
      <c r="E10" s="135"/>
      <c r="F10" s="130"/>
      <c r="G10" s="130"/>
      <c r="H10" s="130"/>
      <c r="I10" s="130"/>
      <c r="K10" s="136" t="s">
        <v>132</v>
      </c>
    </row>
    <row r="11" spans="1:81" ht="15" customHeight="1">
      <c r="C11" s="130"/>
      <c r="D11" s="172" t="s">
        <v>140</v>
      </c>
      <c r="E11" s="185" t="s">
        <v>154</v>
      </c>
      <c r="F11" s="185" t="s">
        <v>133</v>
      </c>
      <c r="G11" s="185" t="s">
        <v>155</v>
      </c>
      <c r="H11" s="185" t="s">
        <v>156</v>
      </c>
      <c r="I11" s="185"/>
      <c r="J11" s="185"/>
      <c r="K11" s="187"/>
      <c r="L11" s="137"/>
    </row>
    <row r="12" spans="1:81" ht="15" customHeight="1">
      <c r="C12" s="130"/>
      <c r="D12" s="184"/>
      <c r="E12" s="186"/>
      <c r="F12" s="186"/>
      <c r="G12" s="186"/>
      <c r="H12" s="138" t="s">
        <v>134</v>
      </c>
      <c r="I12" s="138" t="s">
        <v>135</v>
      </c>
      <c r="J12" s="138" t="s">
        <v>136</v>
      </c>
      <c r="K12" s="139" t="s">
        <v>137</v>
      </c>
      <c r="L12" s="137"/>
    </row>
    <row r="13" spans="1:81" ht="12" customHeight="1">
      <c r="D13" s="25">
        <v>0</v>
      </c>
      <c r="E13" s="25">
        <v>1</v>
      </c>
      <c r="F13" s="25">
        <v>2</v>
      </c>
      <c r="G13" s="25">
        <v>3</v>
      </c>
      <c r="H13" s="25">
        <v>4</v>
      </c>
      <c r="I13" s="25">
        <v>5</v>
      </c>
      <c r="J13" s="25">
        <v>6</v>
      </c>
      <c r="K13" s="25">
        <v>7</v>
      </c>
    </row>
    <row r="14" spans="1:81" s="140" customFormat="1" ht="15" customHeight="1">
      <c r="C14" s="141"/>
      <c r="D14" s="174" t="s">
        <v>200</v>
      </c>
      <c r="E14" s="175"/>
      <c r="F14" s="175"/>
      <c r="G14" s="175"/>
      <c r="H14" s="175"/>
      <c r="I14" s="175"/>
      <c r="J14" s="175"/>
      <c r="K14" s="176"/>
      <c r="L14" s="142"/>
    </row>
    <row r="15" spans="1:81" s="140" customFormat="1" ht="15" customHeight="1">
      <c r="C15" s="141"/>
      <c r="D15" s="106" t="s">
        <v>370</v>
      </c>
      <c r="E15" s="88" t="s">
        <v>498</v>
      </c>
      <c r="F15" s="68">
        <v>10</v>
      </c>
      <c r="G15" s="143">
        <f>SUM(H15:K15)</f>
        <v>7059.9809999999998</v>
      </c>
      <c r="H15" s="143">
        <f>H16+H17+H20+H23</f>
        <v>1035.3340000000001</v>
      </c>
      <c r="I15" s="143">
        <f>I16+I17+I20+I23</f>
        <v>4371.2160000000003</v>
      </c>
      <c r="J15" s="143">
        <f>J16+J17+J20+J23</f>
        <v>1653.431</v>
      </c>
      <c r="K15" s="143">
        <f>K16+K17+K20+K23</f>
        <v>0</v>
      </c>
      <c r="L15" s="142"/>
      <c r="M15" s="52"/>
      <c r="P15" s="115">
        <v>10</v>
      </c>
    </row>
    <row r="16" spans="1:81" s="140" customFormat="1" ht="15" customHeight="1">
      <c r="C16" s="141"/>
      <c r="D16" s="106" t="s">
        <v>371</v>
      </c>
      <c r="E16" s="67" t="s">
        <v>210</v>
      </c>
      <c r="F16" s="68">
        <v>20</v>
      </c>
      <c r="G16" s="143">
        <f t="shared" ref="G16:G136" si="0">SUM(H16:K16)</f>
        <v>0</v>
      </c>
      <c r="H16" s="122"/>
      <c r="I16" s="122"/>
      <c r="J16" s="122"/>
      <c r="K16" s="122"/>
      <c r="L16" s="142"/>
      <c r="M16" s="52"/>
      <c r="P16" s="115">
        <v>20</v>
      </c>
    </row>
    <row r="17" spans="3:16" s="140" customFormat="1" ht="12.75">
      <c r="C17" s="141"/>
      <c r="D17" s="106" t="s">
        <v>372</v>
      </c>
      <c r="E17" s="67" t="s">
        <v>499</v>
      </c>
      <c r="F17" s="68">
        <v>30</v>
      </c>
      <c r="G17" s="143">
        <f t="shared" si="0"/>
        <v>0</v>
      </c>
      <c r="H17" s="143">
        <f>SUM(H18:H19)</f>
        <v>0</v>
      </c>
      <c r="I17" s="143">
        <f>SUM(I18:I19)</f>
        <v>0</v>
      </c>
      <c r="J17" s="143">
        <f>SUM(J18:J19)</f>
        <v>0</v>
      </c>
      <c r="K17" s="143">
        <f>SUM(K18:K19)</f>
        <v>0</v>
      </c>
      <c r="L17" s="142"/>
      <c r="M17" s="52"/>
      <c r="P17" s="115">
        <v>30</v>
      </c>
    </row>
    <row r="18" spans="3:16" s="140" customFormat="1" ht="12.75">
      <c r="C18" s="141"/>
      <c r="D18" s="113" t="s">
        <v>480</v>
      </c>
      <c r="E18" s="144"/>
      <c r="F18" s="84" t="s">
        <v>336</v>
      </c>
      <c r="G18" s="145"/>
      <c r="H18" s="145"/>
      <c r="I18" s="145"/>
      <c r="J18" s="145"/>
      <c r="K18" s="145"/>
      <c r="L18" s="142"/>
      <c r="M18" s="52"/>
      <c r="P18" s="115"/>
    </row>
    <row r="19" spans="3:16" s="140" customFormat="1" ht="12.75">
      <c r="C19" s="141"/>
      <c r="D19" s="108"/>
      <c r="E19" s="104" t="s">
        <v>334</v>
      </c>
      <c r="F19" s="73"/>
      <c r="G19" s="73"/>
      <c r="H19" s="73"/>
      <c r="I19" s="73"/>
      <c r="J19" s="73"/>
      <c r="K19" s="74"/>
      <c r="L19" s="142"/>
      <c r="M19" s="52"/>
      <c r="P19" s="116"/>
    </row>
    <row r="20" spans="3:16" s="140" customFormat="1" ht="12.75">
      <c r="C20" s="141"/>
      <c r="D20" s="106" t="s">
        <v>373</v>
      </c>
      <c r="E20" s="67" t="s">
        <v>500</v>
      </c>
      <c r="F20" s="68" t="s">
        <v>211</v>
      </c>
      <c r="G20" s="143">
        <f t="shared" si="0"/>
        <v>0</v>
      </c>
      <c r="H20" s="143">
        <f>SUM(H21:H22)</f>
        <v>0</v>
      </c>
      <c r="I20" s="143">
        <f>SUM(I21:I22)</f>
        <v>0</v>
      </c>
      <c r="J20" s="143">
        <f>SUM(J21:J22)</f>
        <v>0</v>
      </c>
      <c r="K20" s="143">
        <f>SUM(K21:K22)</f>
        <v>0</v>
      </c>
      <c r="L20" s="142"/>
      <c r="M20" s="52"/>
      <c r="P20" s="116"/>
    </row>
    <row r="21" spans="3:16" s="140" customFormat="1" ht="12.75">
      <c r="C21" s="141"/>
      <c r="D21" s="113" t="s">
        <v>481</v>
      </c>
      <c r="E21" s="144"/>
      <c r="F21" s="84" t="s">
        <v>211</v>
      </c>
      <c r="G21" s="145"/>
      <c r="H21" s="145"/>
      <c r="I21" s="145"/>
      <c r="J21" s="145"/>
      <c r="K21" s="145"/>
      <c r="L21" s="142"/>
      <c r="M21" s="52"/>
      <c r="P21" s="115"/>
    </row>
    <row r="22" spans="3:16" s="140" customFormat="1" ht="12.75">
      <c r="C22" s="141"/>
      <c r="D22" s="108"/>
      <c r="E22" s="104" t="s">
        <v>334</v>
      </c>
      <c r="F22" s="73"/>
      <c r="G22" s="73"/>
      <c r="H22" s="73"/>
      <c r="I22" s="73"/>
      <c r="J22" s="73"/>
      <c r="K22" s="74"/>
      <c r="L22" s="142"/>
      <c r="M22" s="52"/>
      <c r="P22" s="116"/>
    </row>
    <row r="23" spans="3:16" s="140" customFormat="1" ht="12.75">
      <c r="C23" s="141"/>
      <c r="D23" s="106" t="s">
        <v>374</v>
      </c>
      <c r="E23" s="67" t="s">
        <v>501</v>
      </c>
      <c r="F23" s="68" t="s">
        <v>212</v>
      </c>
      <c r="G23" s="143">
        <f t="shared" si="0"/>
        <v>7059.9809999999998</v>
      </c>
      <c r="H23" s="143">
        <f>SUM(H24:H27)</f>
        <v>1035.3340000000001</v>
      </c>
      <c r="I23" s="143">
        <f>SUM(I24:I27)</f>
        <v>4371.2160000000003</v>
      </c>
      <c r="J23" s="143">
        <f>SUM(J24:J27)</f>
        <v>1653.431</v>
      </c>
      <c r="K23" s="143">
        <f>SUM(K24:K27)</f>
        <v>0</v>
      </c>
      <c r="L23" s="142"/>
      <c r="M23" s="52"/>
      <c r="P23" s="115">
        <v>40</v>
      </c>
    </row>
    <row r="24" spans="3:16" s="140" customFormat="1" ht="12.75">
      <c r="C24" s="141"/>
      <c r="D24" s="113" t="s">
        <v>482</v>
      </c>
      <c r="E24" s="144"/>
      <c r="F24" s="84" t="s">
        <v>212</v>
      </c>
      <c r="G24" s="145"/>
      <c r="H24" s="145"/>
      <c r="I24" s="145"/>
      <c r="J24" s="145"/>
      <c r="K24" s="145"/>
      <c r="L24" s="142"/>
      <c r="M24" s="52"/>
      <c r="P24" s="115"/>
    </row>
    <row r="25" spans="3:16" s="140" customFormat="1" ht="14.25">
      <c r="C25" s="121" t="s">
        <v>0</v>
      </c>
      <c r="D25" s="146" t="s">
        <v>1874</v>
      </c>
      <c r="E25" s="82" t="s">
        <v>2047</v>
      </c>
      <c r="F25" s="79">
        <v>431</v>
      </c>
      <c r="G25" s="147">
        <f>SUM(H25:K25)</f>
        <v>5946.18</v>
      </c>
      <c r="H25" s="148">
        <v>1035.3340000000001</v>
      </c>
      <c r="I25" s="148">
        <v>4371.2160000000003</v>
      </c>
      <c r="J25" s="148">
        <v>539.63</v>
      </c>
      <c r="K25" s="149"/>
      <c r="L25" s="142"/>
      <c r="M25" s="85" t="s">
        <v>1842</v>
      </c>
      <c r="N25" s="86" t="s">
        <v>1438</v>
      </c>
      <c r="O25" s="86" t="s">
        <v>1841</v>
      </c>
    </row>
    <row r="26" spans="3:16" s="140" customFormat="1" ht="14.25">
      <c r="C26" s="121" t="s">
        <v>0</v>
      </c>
      <c r="D26" s="146" t="s">
        <v>2072</v>
      </c>
      <c r="E26" s="82" t="s">
        <v>1467</v>
      </c>
      <c r="F26" s="79">
        <v>432</v>
      </c>
      <c r="G26" s="147">
        <f>SUM(H26:K26)</f>
        <v>1113.8009999999999</v>
      </c>
      <c r="H26" s="148"/>
      <c r="I26" s="148"/>
      <c r="J26" s="148">
        <f>373.784+740.017</f>
        <v>1113.8009999999999</v>
      </c>
      <c r="K26" s="149"/>
      <c r="L26" s="142"/>
      <c r="M26" s="85" t="s">
        <v>1468</v>
      </c>
      <c r="N26" s="86" t="s">
        <v>1438</v>
      </c>
      <c r="O26" s="86" t="s">
        <v>1466</v>
      </c>
    </row>
    <row r="27" spans="3:16" s="140" customFormat="1" ht="12.75">
      <c r="C27" s="141"/>
      <c r="D27" s="108"/>
      <c r="E27" s="104" t="s">
        <v>334</v>
      </c>
      <c r="F27" s="73"/>
      <c r="G27" s="73"/>
      <c r="H27" s="73"/>
      <c r="I27" s="73"/>
      <c r="J27" s="73"/>
      <c r="K27" s="74"/>
      <c r="L27" s="142"/>
      <c r="M27" s="52"/>
      <c r="P27" s="115"/>
    </row>
    <row r="28" spans="3:16" s="140" customFormat="1" ht="12.75">
      <c r="C28" s="141"/>
      <c r="D28" s="106" t="s">
        <v>375</v>
      </c>
      <c r="E28" s="88" t="s">
        <v>157</v>
      </c>
      <c r="F28" s="68" t="s">
        <v>213</v>
      </c>
      <c r="G28" s="143">
        <f t="shared" si="0"/>
        <v>3165.9770000000008</v>
      </c>
      <c r="H28" s="143">
        <f>H30+H31+H32</f>
        <v>0</v>
      </c>
      <c r="I28" s="143">
        <f>I29+I31+I32</f>
        <v>0</v>
      </c>
      <c r="J28" s="143">
        <f>J29+J30+J32</f>
        <v>2029.3810000000003</v>
      </c>
      <c r="K28" s="143">
        <f>K29+K30+K31</f>
        <v>1136.5960000000005</v>
      </c>
      <c r="L28" s="142"/>
      <c r="M28" s="52"/>
      <c r="P28" s="115">
        <v>50</v>
      </c>
    </row>
    <row r="29" spans="3:16" s="140" customFormat="1" ht="12.75">
      <c r="C29" s="141"/>
      <c r="D29" s="106" t="s">
        <v>376</v>
      </c>
      <c r="E29" s="67" t="s">
        <v>134</v>
      </c>
      <c r="F29" s="68" t="s">
        <v>214</v>
      </c>
      <c r="G29" s="143">
        <f t="shared" si="0"/>
        <v>989.58800000000008</v>
      </c>
      <c r="H29" s="150"/>
      <c r="I29" s="122"/>
      <c r="J29" s="122">
        <f>H45</f>
        <v>989.58800000000008</v>
      </c>
      <c r="K29" s="122"/>
      <c r="L29" s="142"/>
      <c r="M29" s="52"/>
      <c r="P29" s="115">
        <v>60</v>
      </c>
    </row>
    <row r="30" spans="3:16" s="140" customFormat="1" ht="12.75">
      <c r="C30" s="141"/>
      <c r="D30" s="106" t="s">
        <v>377</v>
      </c>
      <c r="E30" s="67" t="s">
        <v>135</v>
      </c>
      <c r="F30" s="68" t="s">
        <v>215</v>
      </c>
      <c r="G30" s="143">
        <f t="shared" si="0"/>
        <v>1039.7930000000003</v>
      </c>
      <c r="H30" s="122"/>
      <c r="I30" s="150"/>
      <c r="J30" s="122">
        <f>I25-I34-I48</f>
        <v>1039.7930000000003</v>
      </c>
      <c r="K30" s="122"/>
      <c r="L30" s="142"/>
      <c r="M30" s="52"/>
      <c r="P30" s="115">
        <v>70</v>
      </c>
    </row>
    <row r="31" spans="3:16" s="140" customFormat="1" ht="12.75">
      <c r="C31" s="141"/>
      <c r="D31" s="106" t="s">
        <v>378</v>
      </c>
      <c r="E31" s="67" t="s">
        <v>136</v>
      </c>
      <c r="F31" s="68" t="s">
        <v>216</v>
      </c>
      <c r="G31" s="143">
        <f t="shared" si="0"/>
        <v>1136.5960000000005</v>
      </c>
      <c r="H31" s="122"/>
      <c r="I31" s="122"/>
      <c r="J31" s="150"/>
      <c r="K31" s="122">
        <f>J23+J28+J17-J48-J34</f>
        <v>1136.5960000000005</v>
      </c>
      <c r="L31" s="142"/>
      <c r="M31" s="52"/>
      <c r="P31" s="115">
        <v>80</v>
      </c>
    </row>
    <row r="32" spans="3:16" s="140" customFormat="1" ht="12.75">
      <c r="C32" s="141"/>
      <c r="D32" s="106" t="s">
        <v>379</v>
      </c>
      <c r="E32" s="67" t="s">
        <v>158</v>
      </c>
      <c r="F32" s="68" t="s">
        <v>217</v>
      </c>
      <c r="G32" s="143">
        <f t="shared" si="0"/>
        <v>0</v>
      </c>
      <c r="H32" s="122"/>
      <c r="I32" s="122"/>
      <c r="J32" s="122"/>
      <c r="K32" s="150"/>
      <c r="L32" s="142"/>
      <c r="M32" s="52"/>
      <c r="P32" s="115">
        <v>90</v>
      </c>
    </row>
    <row r="33" spans="3:16" s="140" customFormat="1" ht="12.75">
      <c r="C33" s="141"/>
      <c r="D33" s="106" t="s">
        <v>380</v>
      </c>
      <c r="E33" s="89" t="s">
        <v>161</v>
      </c>
      <c r="F33" s="68" t="s">
        <v>218</v>
      </c>
      <c r="G33" s="143">
        <f t="shared" si="0"/>
        <v>0</v>
      </c>
      <c r="H33" s="122"/>
      <c r="I33" s="122"/>
      <c r="J33" s="122"/>
      <c r="K33" s="122"/>
      <c r="L33" s="142"/>
      <c r="M33" s="52"/>
      <c r="P33" s="115"/>
    </row>
    <row r="34" spans="3:16" s="140" customFormat="1" ht="12.75">
      <c r="C34" s="141"/>
      <c r="D34" s="106" t="s">
        <v>381</v>
      </c>
      <c r="E34" s="88" t="s">
        <v>502</v>
      </c>
      <c r="F34" s="109" t="s">
        <v>219</v>
      </c>
      <c r="G34" s="143">
        <f t="shared" si="0"/>
        <v>6858.7070000000003</v>
      </c>
      <c r="H34" s="143">
        <f>H35+H37+H40+H44</f>
        <v>0</v>
      </c>
      <c r="I34" s="143">
        <f>I35+I37+I40+I44</f>
        <v>3305.1590000000001</v>
      </c>
      <c r="J34" s="143">
        <f>J35+J37+J40+J44</f>
        <v>2441.14</v>
      </c>
      <c r="K34" s="143">
        <f>K35+K37+K40+K44</f>
        <v>1112.4079999999999</v>
      </c>
      <c r="L34" s="142"/>
      <c r="M34" s="52"/>
      <c r="P34" s="115">
        <v>100</v>
      </c>
    </row>
    <row r="35" spans="3:16" s="140" customFormat="1" ht="22.5">
      <c r="C35" s="141"/>
      <c r="D35" s="106" t="s">
        <v>382</v>
      </c>
      <c r="E35" s="67" t="s">
        <v>503</v>
      </c>
      <c r="F35" s="68" t="s">
        <v>220</v>
      </c>
      <c r="G35" s="143">
        <f t="shared" si="0"/>
        <v>0</v>
      </c>
      <c r="H35" s="122"/>
      <c r="I35" s="122"/>
      <c r="J35" s="122"/>
      <c r="K35" s="122"/>
      <c r="L35" s="142"/>
      <c r="M35" s="52"/>
      <c r="P35" s="115"/>
    </row>
    <row r="36" spans="3:16" s="140" customFormat="1" ht="12.75">
      <c r="C36" s="141"/>
      <c r="D36" s="106" t="s">
        <v>486</v>
      </c>
      <c r="E36" s="69" t="s">
        <v>476</v>
      </c>
      <c r="F36" s="68" t="s">
        <v>223</v>
      </c>
      <c r="G36" s="143">
        <f t="shared" si="0"/>
        <v>0</v>
      </c>
      <c r="H36" s="122"/>
      <c r="I36" s="122"/>
      <c r="J36" s="122"/>
      <c r="K36" s="122"/>
      <c r="L36" s="142"/>
      <c r="M36" s="52"/>
      <c r="P36" s="115"/>
    </row>
    <row r="37" spans="3:16" s="140" customFormat="1" ht="12.75">
      <c r="C37" s="141"/>
      <c r="D37" s="106" t="s">
        <v>383</v>
      </c>
      <c r="E37" s="67" t="s">
        <v>221</v>
      </c>
      <c r="F37" s="68" t="s">
        <v>224</v>
      </c>
      <c r="G37" s="143">
        <f t="shared" si="0"/>
        <v>4288.9049999999997</v>
      </c>
      <c r="H37" s="122">
        <v>0</v>
      </c>
      <c r="I37" s="122">
        <f>3305.159-I42</f>
        <v>735.35699999999997</v>
      </c>
      <c r="J37" s="122">
        <f>1758.168+682.972</f>
        <v>2441.14</v>
      </c>
      <c r="K37" s="122">
        <v>1112.4079999999999</v>
      </c>
      <c r="L37" s="142"/>
      <c r="M37" s="52"/>
      <c r="P37" s="115"/>
    </row>
    <row r="38" spans="3:16" s="140" customFormat="1" ht="12.75">
      <c r="C38" s="141"/>
      <c r="D38" s="106" t="s">
        <v>487</v>
      </c>
      <c r="E38" s="69" t="s">
        <v>504</v>
      </c>
      <c r="F38" s="68" t="s">
        <v>225</v>
      </c>
      <c r="G38" s="143">
        <f t="shared" si="0"/>
        <v>0</v>
      </c>
      <c r="H38" s="122"/>
      <c r="I38" s="122"/>
      <c r="J38" s="122"/>
      <c r="K38" s="122"/>
      <c r="L38" s="142"/>
      <c r="M38" s="52"/>
      <c r="P38" s="115"/>
    </row>
    <row r="39" spans="3:16" s="140" customFormat="1" ht="12.75">
      <c r="C39" s="141"/>
      <c r="D39" s="106" t="s">
        <v>488</v>
      </c>
      <c r="E39" s="71" t="s">
        <v>476</v>
      </c>
      <c r="F39" s="68" t="s">
        <v>226</v>
      </c>
      <c r="G39" s="143">
        <f t="shared" si="0"/>
        <v>0</v>
      </c>
      <c r="H39" s="122"/>
      <c r="I39" s="122"/>
      <c r="J39" s="122"/>
      <c r="K39" s="122"/>
      <c r="L39" s="142"/>
      <c r="M39" s="52"/>
      <c r="P39" s="115"/>
    </row>
    <row r="40" spans="3:16" s="140" customFormat="1" ht="12.75">
      <c r="C40" s="141"/>
      <c r="D40" s="106" t="s">
        <v>384</v>
      </c>
      <c r="E40" s="67" t="s">
        <v>505</v>
      </c>
      <c r="F40" s="68" t="s">
        <v>227</v>
      </c>
      <c r="G40" s="143">
        <f t="shared" si="0"/>
        <v>2569.8020000000001</v>
      </c>
      <c r="H40" s="143">
        <f>SUM(H41:H43)</f>
        <v>0</v>
      </c>
      <c r="I40" s="143">
        <f>SUM(I41:I43)</f>
        <v>2569.8020000000001</v>
      </c>
      <c r="J40" s="143">
        <f>SUM(J41:J43)</f>
        <v>0</v>
      </c>
      <c r="K40" s="143">
        <f>SUM(K41:K43)</f>
        <v>0</v>
      </c>
      <c r="L40" s="142"/>
      <c r="M40" s="52"/>
      <c r="P40" s="115"/>
    </row>
    <row r="41" spans="3:16" s="140" customFormat="1" ht="12.75">
      <c r="C41" s="141"/>
      <c r="D41" s="113" t="s">
        <v>496</v>
      </c>
      <c r="E41" s="144"/>
      <c r="F41" s="84" t="s">
        <v>227</v>
      </c>
      <c r="G41" s="145"/>
      <c r="H41" s="145"/>
      <c r="I41" s="145"/>
      <c r="J41" s="145"/>
      <c r="K41" s="145"/>
      <c r="L41" s="142"/>
      <c r="M41" s="52"/>
      <c r="P41" s="115"/>
    </row>
    <row r="42" spans="3:16" s="140" customFormat="1" ht="14.25">
      <c r="C42" s="121" t="s">
        <v>0</v>
      </c>
      <c r="D42" s="146" t="s">
        <v>1875</v>
      </c>
      <c r="E42" s="82" t="s">
        <v>1467</v>
      </c>
      <c r="F42" s="79">
        <v>751</v>
      </c>
      <c r="G42" s="147">
        <f>SUM(H42:K42)</f>
        <v>2569.8020000000001</v>
      </c>
      <c r="H42" s="148"/>
      <c r="I42" s="148">
        <v>2569.8020000000001</v>
      </c>
      <c r="J42" s="148"/>
      <c r="K42" s="149"/>
      <c r="L42" s="142"/>
      <c r="M42" s="85" t="s">
        <v>1468</v>
      </c>
      <c r="N42" s="86" t="s">
        <v>1451</v>
      </c>
      <c r="O42" s="86" t="s">
        <v>1466</v>
      </c>
    </row>
    <row r="43" spans="3:16" s="140" customFormat="1" ht="12.75">
      <c r="C43" s="141"/>
      <c r="D43" s="76"/>
      <c r="E43" s="104" t="s">
        <v>334</v>
      </c>
      <c r="F43" s="73"/>
      <c r="G43" s="73"/>
      <c r="H43" s="73"/>
      <c r="I43" s="73"/>
      <c r="J43" s="73"/>
      <c r="K43" s="74"/>
      <c r="L43" s="142"/>
      <c r="M43" s="52"/>
      <c r="P43" s="115"/>
    </row>
    <row r="44" spans="3:16" s="140" customFormat="1" ht="12.75">
      <c r="C44" s="141"/>
      <c r="D44" s="106" t="s">
        <v>385</v>
      </c>
      <c r="E44" s="105" t="s">
        <v>477</v>
      </c>
      <c r="F44" s="68" t="s">
        <v>228</v>
      </c>
      <c r="G44" s="143">
        <f t="shared" si="0"/>
        <v>0</v>
      </c>
      <c r="H44" s="122"/>
      <c r="I44" s="122"/>
      <c r="J44" s="122"/>
      <c r="K44" s="122"/>
      <c r="L44" s="142"/>
      <c r="M44" s="52"/>
      <c r="P44" s="115">
        <v>120</v>
      </c>
    </row>
    <row r="45" spans="3:16" s="140" customFormat="1" ht="12.75">
      <c r="C45" s="141"/>
      <c r="D45" s="106" t="s">
        <v>386</v>
      </c>
      <c r="E45" s="88" t="s">
        <v>159</v>
      </c>
      <c r="F45" s="68" t="s">
        <v>229</v>
      </c>
      <c r="G45" s="143">
        <f t="shared" si="0"/>
        <v>3165.9770000000012</v>
      </c>
      <c r="H45" s="122">
        <f>H25-H48-H34</f>
        <v>989.58800000000008</v>
      </c>
      <c r="I45" s="122">
        <f>I15-I34-I48</f>
        <v>1039.7930000000003</v>
      </c>
      <c r="J45" s="122">
        <f>J23+J28+J17-J34-J48</f>
        <v>1136.5960000000005</v>
      </c>
      <c r="K45" s="122">
        <f>K31-K34-K48</f>
        <v>5.5777604757167865E-13</v>
      </c>
      <c r="L45" s="142"/>
      <c r="M45" s="52"/>
      <c r="P45" s="115">
        <v>150</v>
      </c>
    </row>
    <row r="46" spans="3:16" s="140" customFormat="1" ht="12.75">
      <c r="C46" s="141"/>
      <c r="D46" s="106" t="s">
        <v>387</v>
      </c>
      <c r="E46" s="88" t="s">
        <v>160</v>
      </c>
      <c r="F46" s="68" t="s">
        <v>230</v>
      </c>
      <c r="G46" s="143">
        <f t="shared" si="0"/>
        <v>0</v>
      </c>
      <c r="H46" s="122"/>
      <c r="I46" s="122"/>
      <c r="J46" s="122"/>
      <c r="K46" s="122"/>
      <c r="L46" s="142"/>
      <c r="M46" s="52"/>
      <c r="P46" s="115">
        <v>160</v>
      </c>
    </row>
    <row r="47" spans="3:16" s="140" customFormat="1" ht="12.75">
      <c r="C47" s="141"/>
      <c r="D47" s="106" t="s">
        <v>388</v>
      </c>
      <c r="E47" s="88" t="s">
        <v>162</v>
      </c>
      <c r="F47" s="68" t="s">
        <v>231</v>
      </c>
      <c r="G47" s="143">
        <f t="shared" si="0"/>
        <v>0</v>
      </c>
      <c r="H47" s="122"/>
      <c r="I47" s="122"/>
      <c r="J47" s="122"/>
      <c r="K47" s="122"/>
      <c r="L47" s="142"/>
      <c r="M47" s="52"/>
      <c r="P47" s="115">
        <v>180</v>
      </c>
    </row>
    <row r="48" spans="3:16" s="140" customFormat="1" ht="12.75">
      <c r="C48" s="141"/>
      <c r="D48" s="106" t="s">
        <v>389</v>
      </c>
      <c r="E48" s="88" t="s">
        <v>473</v>
      </c>
      <c r="F48" s="68" t="s">
        <v>232</v>
      </c>
      <c r="G48" s="143">
        <f t="shared" si="0"/>
        <v>201.274</v>
      </c>
      <c r="H48" s="122">
        <v>45.746000000000002</v>
      </c>
      <c r="I48" s="122">
        <v>26.263999999999999</v>
      </c>
      <c r="J48" s="122">
        <f>48.031+57.045</f>
        <v>105.07599999999999</v>
      </c>
      <c r="K48" s="122">
        <v>24.187999999999999</v>
      </c>
      <c r="L48" s="142"/>
      <c r="M48" s="52"/>
      <c r="P48" s="115">
        <v>190</v>
      </c>
    </row>
    <row r="49" spans="3:16" s="140" customFormat="1" ht="12.75">
      <c r="C49" s="141"/>
      <c r="D49" s="106" t="s">
        <v>390</v>
      </c>
      <c r="E49" s="67" t="s">
        <v>474</v>
      </c>
      <c r="F49" s="68" t="s">
        <v>234</v>
      </c>
      <c r="G49" s="143">
        <f t="shared" si="0"/>
        <v>0</v>
      </c>
      <c r="H49" s="122"/>
      <c r="I49" s="122"/>
      <c r="J49" s="122"/>
      <c r="K49" s="122"/>
      <c r="L49" s="142"/>
      <c r="M49" s="52"/>
      <c r="P49" s="115">
        <v>200</v>
      </c>
    </row>
    <row r="50" spans="3:16" s="140" customFormat="1" ht="22.5">
      <c r="C50" s="141"/>
      <c r="D50" s="106" t="s">
        <v>475</v>
      </c>
      <c r="E50" s="88" t="s">
        <v>417</v>
      </c>
      <c r="F50" s="68" t="s">
        <v>235</v>
      </c>
      <c r="G50" s="143">
        <f t="shared" si="0"/>
        <v>209.62</v>
      </c>
      <c r="H50" s="122"/>
      <c r="I50" s="122">
        <f>209.62*0.25776</f>
        <v>54.031651199999999</v>
      </c>
      <c r="J50" s="122">
        <f>209.62*0.37244</f>
        <v>78.070872800000004</v>
      </c>
      <c r="K50" s="122">
        <f>209.62*0.3698</f>
        <v>77.517476000000002</v>
      </c>
      <c r="L50" s="142"/>
      <c r="M50" s="52"/>
      <c r="P50" s="116"/>
    </row>
    <row r="51" spans="3:16" s="140" customFormat="1" ht="33.75">
      <c r="C51" s="141"/>
      <c r="D51" s="106" t="s">
        <v>391</v>
      </c>
      <c r="E51" s="89" t="s">
        <v>236</v>
      </c>
      <c r="F51" s="68" t="s">
        <v>237</v>
      </c>
      <c r="G51" s="143">
        <f t="shared" si="0"/>
        <v>-8.3460000000000036</v>
      </c>
      <c r="H51" s="143">
        <f>H48-H50</f>
        <v>45.746000000000002</v>
      </c>
      <c r="I51" s="143">
        <f>I48-I50</f>
        <v>-27.7676512</v>
      </c>
      <c r="J51" s="143">
        <f>J48-J50</f>
        <v>27.00512719999999</v>
      </c>
      <c r="K51" s="143">
        <f>K48-K50</f>
        <v>-53.329476</v>
      </c>
      <c r="L51" s="142"/>
      <c r="M51" s="52"/>
      <c r="P51" s="116"/>
    </row>
    <row r="52" spans="3:16" s="140" customFormat="1" ht="12.75">
      <c r="C52" s="141"/>
      <c r="D52" s="106" t="s">
        <v>392</v>
      </c>
      <c r="E52" s="88" t="s">
        <v>163</v>
      </c>
      <c r="F52" s="68" t="s">
        <v>238</v>
      </c>
      <c r="G52" s="143">
        <f t="shared" si="0"/>
        <v>0</v>
      </c>
      <c r="H52" s="143">
        <f>(H15+H28+H33)-(H34+H45+H46+H47+H48)</f>
        <v>0</v>
      </c>
      <c r="I52" s="143">
        <f>(I15+I28+I33)-(I34+I45+I46+I47+I48)</f>
        <v>0</v>
      </c>
      <c r="J52" s="143">
        <f>(J15+J28+J33)-(J34+J45+J46+J47+J48)</f>
        <v>0</v>
      </c>
      <c r="K52" s="143">
        <f>(K15+K28+K33)-(K34+K45+K46+K47+K48)</f>
        <v>0</v>
      </c>
      <c r="L52" s="142"/>
      <c r="M52" s="52"/>
      <c r="P52" s="115">
        <v>210</v>
      </c>
    </row>
    <row r="53" spans="3:16" s="140" customFormat="1" ht="12.75">
      <c r="C53" s="141"/>
      <c r="D53" s="174" t="s">
        <v>201</v>
      </c>
      <c r="E53" s="175"/>
      <c r="F53" s="175"/>
      <c r="G53" s="175"/>
      <c r="H53" s="175"/>
      <c r="I53" s="175"/>
      <c r="J53" s="175"/>
      <c r="K53" s="176"/>
      <c r="L53" s="142"/>
      <c r="M53" s="52"/>
      <c r="P53" s="116"/>
    </row>
    <row r="54" spans="3:16" s="140" customFormat="1" ht="12.75">
      <c r="C54" s="141"/>
      <c r="D54" s="106" t="s">
        <v>393</v>
      </c>
      <c r="E54" s="88" t="s">
        <v>498</v>
      </c>
      <c r="F54" s="68" t="s">
        <v>239</v>
      </c>
      <c r="G54" s="143">
        <f t="shared" si="0"/>
        <v>9.805529166666668</v>
      </c>
      <c r="H54" s="143">
        <f>H55+H56+H59+H62</f>
        <v>1.437963888888889</v>
      </c>
      <c r="I54" s="143">
        <f>I55+I56+I59+I62</f>
        <v>6.0711333333333339</v>
      </c>
      <c r="J54" s="143">
        <f>J55+J56+J59+J62</f>
        <v>2.2964319444444445</v>
      </c>
      <c r="K54" s="143">
        <f>K55+K56+K59+K62</f>
        <v>0</v>
      </c>
      <c r="L54" s="142"/>
      <c r="M54" s="52"/>
      <c r="P54" s="115">
        <v>300</v>
      </c>
    </row>
    <row r="55" spans="3:16" s="140" customFormat="1" ht="12.75">
      <c r="C55" s="141"/>
      <c r="D55" s="106" t="s">
        <v>394</v>
      </c>
      <c r="E55" s="67" t="s">
        <v>210</v>
      </c>
      <c r="F55" s="68" t="s">
        <v>240</v>
      </c>
      <c r="G55" s="143">
        <f t="shared" si="0"/>
        <v>0</v>
      </c>
      <c r="H55" s="122"/>
      <c r="I55" s="122"/>
      <c r="J55" s="122"/>
      <c r="K55" s="122"/>
      <c r="L55" s="142"/>
      <c r="M55" s="52"/>
      <c r="P55" s="115">
        <v>310</v>
      </c>
    </row>
    <row r="56" spans="3:16" s="140" customFormat="1" ht="12.75">
      <c r="C56" s="141"/>
      <c r="D56" s="106" t="s">
        <v>395</v>
      </c>
      <c r="E56" s="67" t="s">
        <v>499</v>
      </c>
      <c r="F56" s="68" t="s">
        <v>241</v>
      </c>
      <c r="G56" s="143">
        <f t="shared" si="0"/>
        <v>0</v>
      </c>
      <c r="H56" s="143">
        <f>SUM(H57:H58)</f>
        <v>0</v>
      </c>
      <c r="I56" s="143">
        <f>SUM(I57:I58)</f>
        <v>0</v>
      </c>
      <c r="J56" s="143">
        <f>SUM(J57:J58)</f>
        <v>0</v>
      </c>
      <c r="K56" s="143">
        <f>SUM(K57:K58)</f>
        <v>0</v>
      </c>
      <c r="L56" s="142"/>
      <c r="M56" s="52"/>
      <c r="P56" s="115">
        <v>320</v>
      </c>
    </row>
    <row r="57" spans="3:16" s="140" customFormat="1" ht="12.75">
      <c r="C57" s="141"/>
      <c r="D57" s="113" t="s">
        <v>483</v>
      </c>
      <c r="E57" s="144"/>
      <c r="F57" s="84" t="s">
        <v>241</v>
      </c>
      <c r="G57" s="145"/>
      <c r="H57" s="145"/>
      <c r="I57" s="145"/>
      <c r="J57" s="145"/>
      <c r="K57" s="145"/>
      <c r="L57" s="142"/>
      <c r="M57" s="52"/>
      <c r="P57" s="115"/>
    </row>
    <row r="58" spans="3:16" s="140" customFormat="1" ht="12.75">
      <c r="C58" s="141"/>
      <c r="D58" s="108"/>
      <c r="E58" s="104" t="s">
        <v>334</v>
      </c>
      <c r="F58" s="73"/>
      <c r="G58" s="73"/>
      <c r="H58" s="73"/>
      <c r="I58" s="73"/>
      <c r="J58" s="73"/>
      <c r="K58" s="74"/>
      <c r="L58" s="142"/>
      <c r="M58" s="52"/>
      <c r="P58" s="115"/>
    </row>
    <row r="59" spans="3:16" s="140" customFormat="1" ht="12.75">
      <c r="C59" s="141"/>
      <c r="D59" s="106" t="s">
        <v>396</v>
      </c>
      <c r="E59" s="67" t="s">
        <v>500</v>
      </c>
      <c r="F59" s="68" t="s">
        <v>242</v>
      </c>
      <c r="G59" s="143">
        <f t="shared" si="0"/>
        <v>0</v>
      </c>
      <c r="H59" s="143">
        <f>SUM(H60:H61)</f>
        <v>0</v>
      </c>
      <c r="I59" s="143">
        <f>SUM(I60:I61)</f>
        <v>0</v>
      </c>
      <c r="J59" s="143">
        <f>SUM(J60:J61)</f>
        <v>0</v>
      </c>
      <c r="K59" s="143">
        <f>SUM(K60:K61)</f>
        <v>0</v>
      </c>
      <c r="L59" s="142"/>
      <c r="M59" s="52"/>
      <c r="P59" s="115"/>
    </row>
    <row r="60" spans="3:16" s="140" customFormat="1" ht="12.75">
      <c r="C60" s="141"/>
      <c r="D60" s="113" t="s">
        <v>484</v>
      </c>
      <c r="E60" s="144"/>
      <c r="F60" s="84" t="s">
        <v>242</v>
      </c>
      <c r="G60" s="145"/>
      <c r="H60" s="145"/>
      <c r="I60" s="145"/>
      <c r="J60" s="145"/>
      <c r="K60" s="145"/>
      <c r="L60" s="142"/>
      <c r="M60" s="52"/>
      <c r="P60" s="115"/>
    </row>
    <row r="61" spans="3:16" s="140" customFormat="1" ht="12.75">
      <c r="C61" s="141"/>
      <c r="D61" s="108"/>
      <c r="E61" s="104" t="s">
        <v>334</v>
      </c>
      <c r="F61" s="73"/>
      <c r="G61" s="73"/>
      <c r="H61" s="73"/>
      <c r="I61" s="73"/>
      <c r="J61" s="73"/>
      <c r="K61" s="74"/>
      <c r="L61" s="142"/>
      <c r="M61" s="52"/>
      <c r="P61" s="115"/>
    </row>
    <row r="62" spans="3:16" s="140" customFormat="1" ht="12.75">
      <c r="C62" s="141"/>
      <c r="D62" s="106" t="s">
        <v>397</v>
      </c>
      <c r="E62" s="67" t="s">
        <v>501</v>
      </c>
      <c r="F62" s="68" t="s">
        <v>243</v>
      </c>
      <c r="G62" s="143">
        <f t="shared" si="0"/>
        <v>9.805529166666668</v>
      </c>
      <c r="H62" s="143">
        <f>SUM(H63:H66)</f>
        <v>1.437963888888889</v>
      </c>
      <c r="I62" s="143">
        <f>SUM(I63:I66)</f>
        <v>6.0711333333333339</v>
      </c>
      <c r="J62" s="143">
        <f>SUM(J63:J66)</f>
        <v>2.2964319444444445</v>
      </c>
      <c r="K62" s="143">
        <f>SUM(K63:K66)</f>
        <v>0</v>
      </c>
      <c r="L62" s="142"/>
      <c r="M62" s="52"/>
      <c r="P62" s="115">
        <v>330</v>
      </c>
    </row>
    <row r="63" spans="3:16" s="140" customFormat="1" ht="12.75">
      <c r="C63" s="141"/>
      <c r="D63" s="113" t="s">
        <v>485</v>
      </c>
      <c r="E63" s="144"/>
      <c r="F63" s="84" t="s">
        <v>243</v>
      </c>
      <c r="G63" s="145"/>
      <c r="H63" s="145"/>
      <c r="I63" s="145"/>
      <c r="J63" s="145"/>
      <c r="K63" s="145"/>
      <c r="L63" s="142"/>
      <c r="M63" s="52"/>
      <c r="P63" s="115"/>
    </row>
    <row r="64" spans="3:16" s="140" customFormat="1" ht="14.25">
      <c r="C64" s="121" t="s">
        <v>0</v>
      </c>
      <c r="D64" s="146" t="s">
        <v>1876</v>
      </c>
      <c r="E64" s="82" t="s">
        <v>2047</v>
      </c>
      <c r="F64" s="79">
        <v>1461</v>
      </c>
      <c r="G64" s="147">
        <f>SUM(H64:K64)</f>
        <v>8.2585833333333341</v>
      </c>
      <c r="H64" s="148">
        <f>H25/720</f>
        <v>1.437963888888889</v>
      </c>
      <c r="I64" s="148">
        <f>I25/720</f>
        <v>6.0711333333333339</v>
      </c>
      <c r="J64" s="148">
        <f>J25/720</f>
        <v>0.74948611111111108</v>
      </c>
      <c r="K64" s="148"/>
      <c r="L64" s="142"/>
      <c r="M64" s="85" t="s">
        <v>1842</v>
      </c>
      <c r="N64" s="86" t="s">
        <v>1438</v>
      </c>
      <c r="O64" s="86" t="s">
        <v>1841</v>
      </c>
    </row>
    <row r="65" spans="3:16" s="140" customFormat="1" ht="14.25">
      <c r="C65" s="121" t="s">
        <v>0</v>
      </c>
      <c r="D65" s="146" t="s">
        <v>2073</v>
      </c>
      <c r="E65" s="82" t="s">
        <v>1467</v>
      </c>
      <c r="F65" s="79">
        <v>1462</v>
      </c>
      <c r="G65" s="147">
        <f>SUM(H65:K65)</f>
        <v>1.5469458333333332</v>
      </c>
      <c r="H65" s="148"/>
      <c r="I65" s="148"/>
      <c r="J65" s="148">
        <f>J26/720</f>
        <v>1.5469458333333332</v>
      </c>
      <c r="K65" s="149"/>
      <c r="L65" s="142"/>
      <c r="M65" s="85" t="s">
        <v>1468</v>
      </c>
      <c r="N65" s="86" t="s">
        <v>1438</v>
      </c>
      <c r="O65" s="86" t="s">
        <v>1466</v>
      </c>
    </row>
    <row r="66" spans="3:16" s="140" customFormat="1" ht="12.75">
      <c r="C66" s="141"/>
      <c r="D66" s="108"/>
      <c r="E66" s="104" t="s">
        <v>334</v>
      </c>
      <c r="F66" s="73"/>
      <c r="G66" s="73"/>
      <c r="H66" s="73"/>
      <c r="I66" s="73"/>
      <c r="J66" s="73"/>
      <c r="K66" s="74"/>
      <c r="L66" s="142"/>
      <c r="M66" s="52"/>
      <c r="P66" s="115"/>
    </row>
    <row r="67" spans="3:16" s="140" customFormat="1" ht="12.75">
      <c r="C67" s="141"/>
      <c r="D67" s="106" t="s">
        <v>398</v>
      </c>
      <c r="E67" s="88" t="s">
        <v>157</v>
      </c>
      <c r="F67" s="68" t="s">
        <v>244</v>
      </c>
      <c r="G67" s="143">
        <f t="shared" si="0"/>
        <v>4.3971902777777796</v>
      </c>
      <c r="H67" s="143">
        <f>H69+H70+H71</f>
        <v>0</v>
      </c>
      <c r="I67" s="143">
        <f>I68+I70+I71</f>
        <v>0</v>
      </c>
      <c r="J67" s="143">
        <f>J68+J69+J71</f>
        <v>2.8185847222222229</v>
      </c>
      <c r="K67" s="143">
        <f>K68+K69+K70</f>
        <v>1.5786055555555563</v>
      </c>
      <c r="L67" s="142"/>
      <c r="M67" s="52"/>
      <c r="P67" s="115">
        <v>340</v>
      </c>
    </row>
    <row r="68" spans="3:16" s="140" customFormat="1" ht="12.75">
      <c r="C68" s="141"/>
      <c r="D68" s="106" t="s">
        <v>399</v>
      </c>
      <c r="E68" s="67" t="s">
        <v>134</v>
      </c>
      <c r="F68" s="68" t="s">
        <v>245</v>
      </c>
      <c r="G68" s="143">
        <f t="shared" si="0"/>
        <v>1.3744277777777778</v>
      </c>
      <c r="H68" s="150"/>
      <c r="I68" s="122"/>
      <c r="J68" s="122">
        <f>J29/720</f>
        <v>1.3744277777777778</v>
      </c>
      <c r="K68" s="122"/>
      <c r="L68" s="142"/>
      <c r="M68" s="52"/>
      <c r="P68" s="115">
        <v>350</v>
      </c>
    </row>
    <row r="69" spans="3:16" s="140" customFormat="1" ht="12.75">
      <c r="C69" s="141"/>
      <c r="D69" s="106" t="s">
        <v>400</v>
      </c>
      <c r="E69" s="67" t="s">
        <v>135</v>
      </c>
      <c r="F69" s="68" t="s">
        <v>246</v>
      </c>
      <c r="G69" s="143">
        <f t="shared" si="0"/>
        <v>1.4441569444444449</v>
      </c>
      <c r="H69" s="122"/>
      <c r="I69" s="151"/>
      <c r="J69" s="122">
        <f>J30/720</f>
        <v>1.4441569444444449</v>
      </c>
      <c r="K69" s="122"/>
      <c r="L69" s="142"/>
      <c r="M69" s="52"/>
      <c r="P69" s="115">
        <v>360</v>
      </c>
    </row>
    <row r="70" spans="3:16" s="140" customFormat="1" ht="12.75">
      <c r="C70" s="141"/>
      <c r="D70" s="106" t="s">
        <v>401</v>
      </c>
      <c r="E70" s="67" t="s">
        <v>136</v>
      </c>
      <c r="F70" s="68" t="s">
        <v>247</v>
      </c>
      <c r="G70" s="143">
        <f t="shared" si="0"/>
        <v>1.5786055555555563</v>
      </c>
      <c r="H70" s="122"/>
      <c r="I70" s="122"/>
      <c r="J70" s="150"/>
      <c r="K70" s="122">
        <f>K31/720</f>
        <v>1.5786055555555563</v>
      </c>
      <c r="L70" s="142"/>
      <c r="M70" s="52"/>
      <c r="P70" s="115">
        <v>370</v>
      </c>
    </row>
    <row r="71" spans="3:16" s="140" customFormat="1" ht="12.75">
      <c r="C71" s="141"/>
      <c r="D71" s="106" t="s">
        <v>402</v>
      </c>
      <c r="E71" s="67" t="s">
        <v>158</v>
      </c>
      <c r="F71" s="68" t="s">
        <v>248</v>
      </c>
      <c r="G71" s="143">
        <f t="shared" si="0"/>
        <v>0</v>
      </c>
      <c r="H71" s="122"/>
      <c r="I71" s="122"/>
      <c r="J71" s="122"/>
      <c r="K71" s="150"/>
      <c r="L71" s="142"/>
      <c r="M71" s="52"/>
      <c r="P71" s="115">
        <v>380</v>
      </c>
    </row>
    <row r="72" spans="3:16" s="140" customFormat="1" ht="12.75">
      <c r="C72" s="141"/>
      <c r="D72" s="106" t="s">
        <v>403</v>
      </c>
      <c r="E72" s="89" t="s">
        <v>161</v>
      </c>
      <c r="F72" s="68" t="s">
        <v>249</v>
      </c>
      <c r="G72" s="143">
        <f t="shared" si="0"/>
        <v>0</v>
      </c>
      <c r="H72" s="122"/>
      <c r="I72" s="122"/>
      <c r="J72" s="122"/>
      <c r="K72" s="122"/>
      <c r="L72" s="142"/>
      <c r="M72" s="52"/>
      <c r="P72" s="115"/>
    </row>
    <row r="73" spans="3:16" s="140" customFormat="1" ht="12.75">
      <c r="C73" s="141"/>
      <c r="D73" s="106" t="s">
        <v>404</v>
      </c>
      <c r="E73" s="88" t="s">
        <v>502</v>
      </c>
      <c r="F73" s="109" t="s">
        <v>250</v>
      </c>
      <c r="G73" s="143">
        <f t="shared" si="0"/>
        <v>9.5259819444444442</v>
      </c>
      <c r="H73" s="143">
        <f>H74+H76+H79+H83</f>
        <v>0</v>
      </c>
      <c r="I73" s="143">
        <f>I74+I76+I79+I83</f>
        <v>4.5904986111111112</v>
      </c>
      <c r="J73" s="143">
        <f>J74+J76+J79+J83</f>
        <v>3.3904722222222219</v>
      </c>
      <c r="K73" s="143">
        <f>K74+K76+K79+K83</f>
        <v>1.5450111111111109</v>
      </c>
      <c r="L73" s="142"/>
      <c r="M73" s="52"/>
      <c r="P73" s="115">
        <v>390</v>
      </c>
    </row>
    <row r="74" spans="3:16" s="140" customFormat="1" ht="22.5">
      <c r="C74" s="141"/>
      <c r="D74" s="106" t="s">
        <v>405</v>
      </c>
      <c r="E74" s="67" t="s">
        <v>503</v>
      </c>
      <c r="F74" s="68" t="s">
        <v>251</v>
      </c>
      <c r="G74" s="143">
        <f t="shared" si="0"/>
        <v>0</v>
      </c>
      <c r="H74" s="122"/>
      <c r="I74" s="122"/>
      <c r="J74" s="122"/>
      <c r="K74" s="122"/>
      <c r="L74" s="142"/>
      <c r="M74" s="52"/>
      <c r="P74" s="115"/>
    </row>
    <row r="75" spans="3:16" s="140" customFormat="1" ht="12.75">
      <c r="C75" s="141"/>
      <c r="D75" s="106" t="s">
        <v>489</v>
      </c>
      <c r="E75" s="69" t="s">
        <v>476</v>
      </c>
      <c r="F75" s="68" t="s">
        <v>252</v>
      </c>
      <c r="G75" s="143">
        <f t="shared" si="0"/>
        <v>0</v>
      </c>
      <c r="H75" s="122"/>
      <c r="I75" s="122"/>
      <c r="J75" s="122"/>
      <c r="K75" s="122"/>
      <c r="L75" s="142"/>
      <c r="M75" s="52"/>
      <c r="P75" s="115"/>
    </row>
    <row r="76" spans="3:16" s="140" customFormat="1" ht="12.75">
      <c r="C76" s="141"/>
      <c r="D76" s="106" t="s">
        <v>406</v>
      </c>
      <c r="E76" s="67" t="s">
        <v>221</v>
      </c>
      <c r="F76" s="68" t="s">
        <v>253</v>
      </c>
      <c r="G76" s="143">
        <f t="shared" si="0"/>
        <v>5.9568124999999998</v>
      </c>
      <c r="H76" s="122">
        <f>H37/720</f>
        <v>0</v>
      </c>
      <c r="I76" s="122">
        <f>I37/720</f>
        <v>1.0213291666666666</v>
      </c>
      <c r="J76" s="122">
        <f>J37/720</f>
        <v>3.3904722222222219</v>
      </c>
      <c r="K76" s="122">
        <f>K37/720</f>
        <v>1.5450111111111109</v>
      </c>
      <c r="L76" s="142"/>
      <c r="M76" s="52"/>
      <c r="P76" s="115"/>
    </row>
    <row r="77" spans="3:16" s="140" customFormat="1" ht="12.75">
      <c r="C77" s="141"/>
      <c r="D77" s="106" t="s">
        <v>490</v>
      </c>
      <c r="E77" s="69" t="s">
        <v>504</v>
      </c>
      <c r="F77" s="68" t="s">
        <v>254</v>
      </c>
      <c r="G77" s="143">
        <f t="shared" si="0"/>
        <v>0</v>
      </c>
      <c r="H77" s="122"/>
      <c r="I77" s="122"/>
      <c r="J77" s="122"/>
      <c r="K77" s="122"/>
      <c r="L77" s="142"/>
      <c r="M77" s="52"/>
      <c r="P77" s="115"/>
    </row>
    <row r="78" spans="3:16" s="140" customFormat="1" ht="12.75">
      <c r="C78" s="141"/>
      <c r="D78" s="106" t="s">
        <v>491</v>
      </c>
      <c r="E78" s="71" t="s">
        <v>476</v>
      </c>
      <c r="F78" s="68" t="s">
        <v>255</v>
      </c>
      <c r="G78" s="143">
        <f t="shared" si="0"/>
        <v>0</v>
      </c>
      <c r="H78" s="122"/>
      <c r="I78" s="122"/>
      <c r="J78" s="122"/>
      <c r="K78" s="122"/>
      <c r="L78" s="142"/>
      <c r="M78" s="52"/>
      <c r="P78" s="115"/>
    </row>
    <row r="79" spans="3:16" s="140" customFormat="1" ht="12.75">
      <c r="C79" s="141"/>
      <c r="D79" s="106" t="s">
        <v>407</v>
      </c>
      <c r="E79" s="67" t="s">
        <v>505</v>
      </c>
      <c r="F79" s="68" t="s">
        <v>256</v>
      </c>
      <c r="G79" s="143">
        <f t="shared" si="0"/>
        <v>3.5691694444444448</v>
      </c>
      <c r="H79" s="143">
        <f>SUM(H80:H82)</f>
        <v>0</v>
      </c>
      <c r="I79" s="143">
        <f>SUM(I80:I82)</f>
        <v>3.5691694444444448</v>
      </c>
      <c r="J79" s="143">
        <f>SUM(J80:J82)</f>
        <v>0</v>
      </c>
      <c r="K79" s="143">
        <f>SUM(K80:K82)</f>
        <v>0</v>
      </c>
      <c r="L79" s="142"/>
      <c r="M79" s="52"/>
      <c r="P79" s="115"/>
    </row>
    <row r="80" spans="3:16" s="140" customFormat="1" ht="12.75">
      <c r="C80" s="141"/>
      <c r="D80" s="113" t="s">
        <v>497</v>
      </c>
      <c r="E80" s="144"/>
      <c r="F80" s="84" t="s">
        <v>256</v>
      </c>
      <c r="G80" s="145"/>
      <c r="H80" s="145"/>
      <c r="I80" s="145"/>
      <c r="J80" s="145"/>
      <c r="K80" s="145"/>
      <c r="L80" s="142"/>
      <c r="M80" s="52"/>
      <c r="P80" s="115"/>
    </row>
    <row r="81" spans="3:16" s="140" customFormat="1" ht="14.25">
      <c r="C81" s="121" t="s">
        <v>0</v>
      </c>
      <c r="D81" s="146" t="s">
        <v>1877</v>
      </c>
      <c r="E81" s="82" t="s">
        <v>1467</v>
      </c>
      <c r="F81" s="79">
        <v>1781</v>
      </c>
      <c r="G81" s="147">
        <f>SUM(H81:K81)</f>
        <v>3.5691694444444448</v>
      </c>
      <c r="H81" s="148"/>
      <c r="I81" s="148">
        <f>I42/720</f>
        <v>3.5691694444444448</v>
      </c>
      <c r="J81" s="148"/>
      <c r="K81" s="149"/>
      <c r="L81" s="142"/>
      <c r="M81" s="85" t="s">
        <v>1468</v>
      </c>
      <c r="N81" s="86" t="s">
        <v>1451</v>
      </c>
      <c r="O81" s="86" t="s">
        <v>1466</v>
      </c>
    </row>
    <row r="82" spans="3:16" s="140" customFormat="1" ht="12.75">
      <c r="C82" s="141"/>
      <c r="D82" s="108"/>
      <c r="E82" s="104" t="s">
        <v>334</v>
      </c>
      <c r="F82" s="73"/>
      <c r="G82" s="73"/>
      <c r="H82" s="73"/>
      <c r="I82" s="73"/>
      <c r="J82" s="73"/>
      <c r="K82" s="74"/>
      <c r="L82" s="142"/>
      <c r="M82" s="52"/>
      <c r="P82" s="115"/>
    </row>
    <row r="83" spans="3:16" s="140" customFormat="1" ht="12.75">
      <c r="C83" s="141"/>
      <c r="D83" s="106" t="s">
        <v>408</v>
      </c>
      <c r="E83" s="105" t="s">
        <v>477</v>
      </c>
      <c r="F83" s="68" t="s">
        <v>257</v>
      </c>
      <c r="G83" s="143">
        <f t="shared" si="0"/>
        <v>0</v>
      </c>
      <c r="H83" s="122"/>
      <c r="I83" s="122"/>
      <c r="J83" s="122"/>
      <c r="K83" s="122"/>
      <c r="L83" s="142"/>
      <c r="M83" s="52"/>
      <c r="P83" s="115">
        <v>410</v>
      </c>
    </row>
    <row r="84" spans="3:16" s="140" customFormat="1" ht="12.75">
      <c r="C84" s="141"/>
      <c r="D84" s="106" t="s">
        <v>409</v>
      </c>
      <c r="E84" s="88" t="s">
        <v>159</v>
      </c>
      <c r="F84" s="68" t="s">
        <v>258</v>
      </c>
      <c r="G84" s="143">
        <f t="shared" si="0"/>
        <v>4.3971902777777805</v>
      </c>
      <c r="H84" s="122">
        <f>H45/720</f>
        <v>1.3744277777777778</v>
      </c>
      <c r="I84" s="122">
        <f>I45/720</f>
        <v>1.4441569444444449</v>
      </c>
      <c r="J84" s="122">
        <f>J45/720</f>
        <v>1.5786055555555563</v>
      </c>
      <c r="K84" s="122">
        <f>K45/720</f>
        <v>7.7468895496066479E-16</v>
      </c>
      <c r="L84" s="142"/>
      <c r="M84" s="52"/>
      <c r="P84" s="115">
        <v>440</v>
      </c>
    </row>
    <row r="85" spans="3:16" s="140" customFormat="1" ht="12.75">
      <c r="C85" s="141"/>
      <c r="D85" s="106" t="s">
        <v>410</v>
      </c>
      <c r="E85" s="88" t="s">
        <v>160</v>
      </c>
      <c r="F85" s="68" t="s">
        <v>259</v>
      </c>
      <c r="G85" s="143">
        <f t="shared" si="0"/>
        <v>0</v>
      </c>
      <c r="H85" s="122"/>
      <c r="I85" s="122"/>
      <c r="J85" s="122"/>
      <c r="K85" s="122"/>
      <c r="L85" s="142"/>
      <c r="M85" s="52"/>
      <c r="P85" s="115">
        <v>450</v>
      </c>
    </row>
    <row r="86" spans="3:16" s="140" customFormat="1" ht="12.75">
      <c r="C86" s="141"/>
      <c r="D86" s="106" t="s">
        <v>411</v>
      </c>
      <c r="E86" s="88" t="s">
        <v>162</v>
      </c>
      <c r="F86" s="68" t="s">
        <v>260</v>
      </c>
      <c r="G86" s="143">
        <f t="shared" si="0"/>
        <v>0</v>
      </c>
      <c r="H86" s="122"/>
      <c r="I86" s="122"/>
      <c r="J86" s="122"/>
      <c r="K86" s="122"/>
      <c r="L86" s="142"/>
      <c r="M86" s="52"/>
      <c r="P86" s="115">
        <v>470</v>
      </c>
    </row>
    <row r="87" spans="3:16" s="140" customFormat="1" ht="12.75">
      <c r="C87" s="141"/>
      <c r="D87" s="106" t="s">
        <v>412</v>
      </c>
      <c r="E87" s="88" t="s">
        <v>473</v>
      </c>
      <c r="F87" s="68" t="s">
        <v>261</v>
      </c>
      <c r="G87" s="143">
        <f t="shared" si="0"/>
        <v>0.27954722222222217</v>
      </c>
      <c r="H87" s="122">
        <f>H48/720</f>
        <v>6.3536111111111113E-2</v>
      </c>
      <c r="I87" s="122">
        <f>I48/720</f>
        <v>3.6477777777777776E-2</v>
      </c>
      <c r="J87" s="122">
        <f>J48/720</f>
        <v>0.14593888888888887</v>
      </c>
      <c r="K87" s="122">
        <f>K48/720</f>
        <v>3.3594444444444441E-2</v>
      </c>
      <c r="L87" s="142"/>
      <c r="M87" s="52"/>
      <c r="P87" s="115">
        <v>480</v>
      </c>
    </row>
    <row r="88" spans="3:16" s="140" customFormat="1" ht="12.75">
      <c r="C88" s="141"/>
      <c r="D88" s="106" t="s">
        <v>413</v>
      </c>
      <c r="E88" s="67" t="s">
        <v>233</v>
      </c>
      <c r="F88" s="68" t="s">
        <v>262</v>
      </c>
      <c r="G88" s="143">
        <f t="shared" si="0"/>
        <v>0</v>
      </c>
      <c r="H88" s="122"/>
      <c r="I88" s="122"/>
      <c r="J88" s="122"/>
      <c r="K88" s="122"/>
      <c r="L88" s="142"/>
      <c r="M88" s="52"/>
      <c r="P88" s="115">
        <v>490</v>
      </c>
    </row>
    <row r="89" spans="3:16" s="140" customFormat="1" ht="22.5">
      <c r="C89" s="141"/>
      <c r="D89" s="106" t="s">
        <v>414</v>
      </c>
      <c r="E89" s="88" t="s">
        <v>417</v>
      </c>
      <c r="F89" s="68" t="s">
        <v>263</v>
      </c>
      <c r="G89" s="143">
        <f t="shared" si="0"/>
        <v>0.29113888888888889</v>
      </c>
      <c r="H89" s="122"/>
      <c r="I89" s="122">
        <f>I50/720</f>
        <v>7.5043959999999993E-2</v>
      </c>
      <c r="J89" s="122">
        <f>J50/720</f>
        <v>0.10843176777777778</v>
      </c>
      <c r="K89" s="122">
        <f>K50/720</f>
        <v>0.10766316111111111</v>
      </c>
      <c r="L89" s="142"/>
      <c r="M89" s="52"/>
      <c r="P89" s="115"/>
    </row>
    <row r="90" spans="3:16" s="140" customFormat="1" ht="33.75">
      <c r="C90" s="141"/>
      <c r="D90" s="106" t="s">
        <v>415</v>
      </c>
      <c r="E90" s="89" t="s">
        <v>236</v>
      </c>
      <c r="F90" s="68" t="s">
        <v>264</v>
      </c>
      <c r="G90" s="143">
        <f t="shared" si="0"/>
        <v>-1.1591666666666695E-2</v>
      </c>
      <c r="H90" s="143">
        <f>H87-H89</f>
        <v>6.3536111111111113E-2</v>
      </c>
      <c r="I90" s="143">
        <f>I87-I89</f>
        <v>-3.8566182222222217E-2</v>
      </c>
      <c r="J90" s="143">
        <f>J87-J89</f>
        <v>3.7507121111111083E-2</v>
      </c>
      <c r="K90" s="143">
        <f>K87-K89</f>
        <v>-7.4068716666666673E-2</v>
      </c>
      <c r="L90" s="142"/>
      <c r="M90" s="52"/>
      <c r="P90" s="115"/>
    </row>
    <row r="91" spans="3:16" s="140" customFormat="1" ht="12.75">
      <c r="C91" s="141"/>
      <c r="D91" s="106" t="s">
        <v>416</v>
      </c>
      <c r="E91" s="88" t="s">
        <v>163</v>
      </c>
      <c r="F91" s="68" t="s">
        <v>265</v>
      </c>
      <c r="G91" s="143">
        <f t="shared" si="0"/>
        <v>0</v>
      </c>
      <c r="H91" s="143">
        <f>(H54+H67+H72)-(H73+H84+H85+H86+H87)</f>
        <v>0</v>
      </c>
      <c r="I91" s="143">
        <f>(I54+I67+I72)-(I73+I84+I85+I86+I87)</f>
        <v>0</v>
      </c>
      <c r="J91" s="143">
        <f>(J54+J67+J72)-(J73+J84+J85+J86+J87)</f>
        <v>0</v>
      </c>
      <c r="K91" s="143">
        <f>(K54+K67+K72)-(K73+K84+K85+K86+K87)</f>
        <v>0</v>
      </c>
      <c r="L91" s="142"/>
      <c r="M91" s="52"/>
      <c r="P91" s="115">
        <v>500</v>
      </c>
    </row>
    <row r="92" spans="3:16" s="140" customFormat="1" ht="12.75">
      <c r="C92" s="141"/>
      <c r="D92" s="174" t="s">
        <v>202</v>
      </c>
      <c r="E92" s="175"/>
      <c r="F92" s="175"/>
      <c r="G92" s="175"/>
      <c r="H92" s="175"/>
      <c r="I92" s="175"/>
      <c r="J92" s="175"/>
      <c r="K92" s="176"/>
      <c r="L92" s="142"/>
      <c r="M92" s="52"/>
      <c r="P92" s="116"/>
    </row>
    <row r="93" spans="3:16" s="140" customFormat="1" ht="12.75">
      <c r="C93" s="141"/>
      <c r="D93" s="106" t="s">
        <v>418</v>
      </c>
      <c r="E93" s="88" t="s">
        <v>164</v>
      </c>
      <c r="F93" s="68" t="s">
        <v>266</v>
      </c>
      <c r="G93" s="143">
        <f t="shared" si="0"/>
        <v>0</v>
      </c>
      <c r="H93" s="122"/>
      <c r="I93" s="122"/>
      <c r="J93" s="122"/>
      <c r="K93" s="122"/>
      <c r="L93" s="142"/>
      <c r="M93" s="52"/>
      <c r="P93" s="115">
        <v>600</v>
      </c>
    </row>
    <row r="94" spans="3:16" s="140" customFormat="1" ht="12.75">
      <c r="C94" s="141"/>
      <c r="D94" s="106" t="s">
        <v>419</v>
      </c>
      <c r="E94" s="88" t="s">
        <v>165</v>
      </c>
      <c r="F94" s="68" t="s">
        <v>267</v>
      </c>
      <c r="G94" s="143">
        <f t="shared" si="0"/>
        <v>56.423000000000002</v>
      </c>
      <c r="H94" s="122"/>
      <c r="I94" s="122">
        <v>56.423000000000002</v>
      </c>
      <c r="J94" s="122"/>
      <c r="K94" s="122"/>
      <c r="L94" s="142"/>
      <c r="M94" s="52"/>
      <c r="P94" s="115">
        <v>610</v>
      </c>
    </row>
    <row r="95" spans="3:16" s="140" customFormat="1" ht="12.75">
      <c r="C95" s="141"/>
      <c r="D95" s="106" t="s">
        <v>420</v>
      </c>
      <c r="E95" s="88" t="s">
        <v>166</v>
      </c>
      <c r="F95" s="68" t="s">
        <v>268</v>
      </c>
      <c r="G95" s="143">
        <f t="shared" si="0"/>
        <v>0</v>
      </c>
      <c r="H95" s="122"/>
      <c r="I95" s="122"/>
      <c r="J95" s="122"/>
      <c r="K95" s="122"/>
      <c r="L95" s="142"/>
      <c r="M95" s="52"/>
      <c r="P95" s="115">
        <v>620</v>
      </c>
    </row>
    <row r="96" spans="3:16" s="140" customFormat="1" ht="12.75">
      <c r="C96" s="141"/>
      <c r="D96" s="174" t="s">
        <v>209</v>
      </c>
      <c r="E96" s="175"/>
      <c r="F96" s="175"/>
      <c r="G96" s="175"/>
      <c r="H96" s="175"/>
      <c r="I96" s="175"/>
      <c r="J96" s="175"/>
      <c r="K96" s="176"/>
      <c r="L96" s="142"/>
      <c r="M96" s="52"/>
      <c r="P96" s="116"/>
    </row>
    <row r="97" spans="3:16" s="140" customFormat="1" ht="12.75">
      <c r="C97" s="141"/>
      <c r="D97" s="106" t="s">
        <v>421</v>
      </c>
      <c r="E97" s="88" t="s">
        <v>506</v>
      </c>
      <c r="F97" s="68" t="s">
        <v>269</v>
      </c>
      <c r="G97" s="143">
        <f t="shared" si="0"/>
        <v>0</v>
      </c>
      <c r="H97" s="143">
        <f>SUM(H98:H99)</f>
        <v>0</v>
      </c>
      <c r="I97" s="143">
        <f>SUM(I98:I99)</f>
        <v>0</v>
      </c>
      <c r="J97" s="143">
        <f>SUM(J98:J99)</f>
        <v>0</v>
      </c>
      <c r="K97" s="143">
        <f>SUM(K98:K99)</f>
        <v>0</v>
      </c>
      <c r="L97" s="142"/>
      <c r="M97" s="52"/>
      <c r="P97" s="115">
        <v>700</v>
      </c>
    </row>
    <row r="98" spans="3:16" ht="12.75">
      <c r="C98" s="130"/>
      <c r="D98" s="107" t="s">
        <v>422</v>
      </c>
      <c r="E98" s="67" t="s">
        <v>167</v>
      </c>
      <c r="F98" s="68" t="s">
        <v>270</v>
      </c>
      <c r="G98" s="143">
        <f t="shared" si="0"/>
        <v>0</v>
      </c>
      <c r="H98" s="152"/>
      <c r="I98" s="152"/>
      <c r="J98" s="152"/>
      <c r="K98" s="152"/>
      <c r="L98" s="137"/>
      <c r="M98" s="52"/>
      <c r="P98" s="115">
        <v>710</v>
      </c>
    </row>
    <row r="99" spans="3:16" ht="12.75">
      <c r="C99" s="130"/>
      <c r="D99" s="107" t="s">
        <v>423</v>
      </c>
      <c r="E99" s="67" t="s">
        <v>507</v>
      </c>
      <c r="F99" s="68" t="s">
        <v>271</v>
      </c>
      <c r="G99" s="143">
        <f t="shared" si="0"/>
        <v>0</v>
      </c>
      <c r="H99" s="153">
        <f>H102</f>
        <v>0</v>
      </c>
      <c r="I99" s="153">
        <f>I102</f>
        <v>0</v>
      </c>
      <c r="J99" s="153">
        <f>J102</f>
        <v>0</v>
      </c>
      <c r="K99" s="153">
        <f>K102</f>
        <v>0</v>
      </c>
      <c r="L99" s="137"/>
      <c r="M99" s="52"/>
      <c r="P99" s="115">
        <v>720</v>
      </c>
    </row>
    <row r="100" spans="3:16" ht="12.75">
      <c r="C100" s="130"/>
      <c r="D100" s="107" t="s">
        <v>424</v>
      </c>
      <c r="E100" s="69" t="s">
        <v>508</v>
      </c>
      <c r="F100" s="68" t="s">
        <v>273</v>
      </c>
      <c r="G100" s="143">
        <f t="shared" si="0"/>
        <v>0</v>
      </c>
      <c r="H100" s="152"/>
      <c r="I100" s="152"/>
      <c r="J100" s="152"/>
      <c r="K100" s="152"/>
      <c r="L100" s="137"/>
      <c r="M100" s="52"/>
      <c r="P100" s="115">
        <v>730</v>
      </c>
    </row>
    <row r="101" spans="3:16" ht="12.75">
      <c r="C101" s="130"/>
      <c r="D101" s="107" t="s">
        <v>425</v>
      </c>
      <c r="E101" s="71" t="s">
        <v>509</v>
      </c>
      <c r="F101" s="68" t="s">
        <v>274</v>
      </c>
      <c r="G101" s="143">
        <f t="shared" si="0"/>
        <v>0</v>
      </c>
      <c r="H101" s="152"/>
      <c r="I101" s="152"/>
      <c r="J101" s="152"/>
      <c r="K101" s="152"/>
      <c r="L101" s="137"/>
      <c r="M101" s="52"/>
      <c r="P101" s="115"/>
    </row>
    <row r="102" spans="3:16" ht="12.75">
      <c r="C102" s="130"/>
      <c r="D102" s="107" t="s">
        <v>426</v>
      </c>
      <c r="E102" s="69" t="s">
        <v>478</v>
      </c>
      <c r="F102" s="68" t="s">
        <v>275</v>
      </c>
      <c r="G102" s="143">
        <f t="shared" si="0"/>
        <v>0</v>
      </c>
      <c r="H102" s="152"/>
      <c r="I102" s="152"/>
      <c r="J102" s="152"/>
      <c r="K102" s="152"/>
      <c r="L102" s="137"/>
      <c r="M102" s="52"/>
      <c r="P102" s="115">
        <v>740</v>
      </c>
    </row>
    <row r="103" spans="3:16" ht="12.75">
      <c r="C103" s="130"/>
      <c r="D103" s="107" t="s">
        <v>427</v>
      </c>
      <c r="E103" s="88" t="s">
        <v>510</v>
      </c>
      <c r="F103" s="68" t="s">
        <v>277</v>
      </c>
      <c r="G103" s="143">
        <f t="shared" si="0"/>
        <v>0</v>
      </c>
      <c r="H103" s="153">
        <f>H104+H120</f>
        <v>0</v>
      </c>
      <c r="I103" s="153">
        <f>I104+I120</f>
        <v>0</v>
      </c>
      <c r="J103" s="153">
        <f>J104+J120</f>
        <v>0</v>
      </c>
      <c r="K103" s="153">
        <f>K104+K120</f>
        <v>0</v>
      </c>
      <c r="L103" s="137"/>
      <c r="M103" s="52"/>
      <c r="P103" s="115">
        <v>750</v>
      </c>
    </row>
    <row r="104" spans="3:16" ht="12.75">
      <c r="C104" s="130"/>
      <c r="D104" s="107" t="s">
        <v>428</v>
      </c>
      <c r="E104" s="67" t="s">
        <v>279</v>
      </c>
      <c r="F104" s="68" t="s">
        <v>278</v>
      </c>
      <c r="G104" s="143">
        <f t="shared" si="0"/>
        <v>0</v>
      </c>
      <c r="H104" s="153">
        <f>H105+H106</f>
        <v>0</v>
      </c>
      <c r="I104" s="153">
        <f>I105+I106</f>
        <v>0</v>
      </c>
      <c r="J104" s="153">
        <f>J105+J106</f>
        <v>0</v>
      </c>
      <c r="K104" s="153">
        <f>K105+K106</f>
        <v>0</v>
      </c>
      <c r="L104" s="137"/>
      <c r="M104" s="52"/>
      <c r="P104" s="115">
        <v>760</v>
      </c>
    </row>
    <row r="105" spans="3:16" ht="12.75">
      <c r="C105" s="130"/>
      <c r="D105" s="107" t="s">
        <v>429</v>
      </c>
      <c r="E105" s="69" t="s">
        <v>222</v>
      </c>
      <c r="F105" s="68" t="s">
        <v>280</v>
      </c>
      <c r="G105" s="143">
        <f t="shared" si="0"/>
        <v>0</v>
      </c>
      <c r="H105" s="152"/>
      <c r="I105" s="152"/>
      <c r="J105" s="152"/>
      <c r="K105" s="152"/>
      <c r="L105" s="137"/>
      <c r="M105" s="52"/>
      <c r="P105" s="115"/>
    </row>
    <row r="106" spans="3:16" ht="12.75">
      <c r="C106" s="130"/>
      <c r="D106" s="107" t="s">
        <v>430</v>
      </c>
      <c r="E106" s="69" t="s">
        <v>511</v>
      </c>
      <c r="F106" s="68" t="s">
        <v>281</v>
      </c>
      <c r="G106" s="143">
        <f t="shared" si="0"/>
        <v>0</v>
      </c>
      <c r="H106" s="153">
        <f>H107+H110+H113+H116+H117+H118+H119</f>
        <v>0</v>
      </c>
      <c r="I106" s="153">
        <f>I107+I110+I113+I116+I117+I118+I119</f>
        <v>0</v>
      </c>
      <c r="J106" s="153">
        <f>J107+J110+J113+J116+J117+J118+J119</f>
        <v>0</v>
      </c>
      <c r="K106" s="153">
        <f>K107+K110+K113+K116+K117+K118+K119</f>
        <v>0</v>
      </c>
      <c r="L106" s="137"/>
      <c r="M106" s="52"/>
      <c r="P106" s="115"/>
    </row>
    <row r="107" spans="3:16" ht="45">
      <c r="C107" s="130"/>
      <c r="D107" s="107" t="s">
        <v>431</v>
      </c>
      <c r="E107" s="71" t="s">
        <v>512</v>
      </c>
      <c r="F107" s="68" t="s">
        <v>282</v>
      </c>
      <c r="G107" s="143">
        <f t="shared" si="0"/>
        <v>0</v>
      </c>
      <c r="H107" s="154">
        <f>H108+H109</f>
        <v>0</v>
      </c>
      <c r="I107" s="154">
        <f>I108+I109</f>
        <v>0</v>
      </c>
      <c r="J107" s="154">
        <f>J108+J109</f>
        <v>0</v>
      </c>
      <c r="K107" s="154">
        <f>K108+K109</f>
        <v>0</v>
      </c>
      <c r="L107" s="137"/>
      <c r="M107" s="52"/>
      <c r="P107" s="115"/>
    </row>
    <row r="108" spans="3:16" ht="12.75">
      <c r="C108" s="130"/>
      <c r="D108" s="107" t="s">
        <v>433</v>
      </c>
      <c r="E108" s="72" t="s">
        <v>283</v>
      </c>
      <c r="F108" s="68" t="s">
        <v>284</v>
      </c>
      <c r="G108" s="143">
        <f t="shared" si="0"/>
        <v>0</v>
      </c>
      <c r="H108" s="152"/>
      <c r="I108" s="152"/>
      <c r="J108" s="152"/>
      <c r="K108" s="152"/>
      <c r="L108" s="137"/>
      <c r="M108" s="52"/>
      <c r="P108" s="115"/>
    </row>
    <row r="109" spans="3:16" ht="12.75">
      <c r="C109" s="130"/>
      <c r="D109" s="107" t="s">
        <v>434</v>
      </c>
      <c r="E109" s="72" t="s">
        <v>285</v>
      </c>
      <c r="F109" s="68" t="s">
        <v>286</v>
      </c>
      <c r="G109" s="143">
        <f t="shared" si="0"/>
        <v>0</v>
      </c>
      <c r="H109" s="152"/>
      <c r="I109" s="152"/>
      <c r="J109" s="152"/>
      <c r="K109" s="152"/>
      <c r="L109" s="137"/>
      <c r="M109" s="52"/>
      <c r="P109" s="115"/>
    </row>
    <row r="110" spans="3:16" ht="45">
      <c r="C110" s="130"/>
      <c r="D110" s="107" t="s">
        <v>432</v>
      </c>
      <c r="E110" s="71" t="s">
        <v>513</v>
      </c>
      <c r="F110" s="68" t="s">
        <v>287</v>
      </c>
      <c r="G110" s="143">
        <f t="shared" si="0"/>
        <v>0</v>
      </c>
      <c r="H110" s="154">
        <f>H111+H112</f>
        <v>0</v>
      </c>
      <c r="I110" s="154">
        <f>I111+I112</f>
        <v>0</v>
      </c>
      <c r="J110" s="154">
        <f>J111+J112</f>
        <v>0</v>
      </c>
      <c r="K110" s="154">
        <f>K111+K112</f>
        <v>0</v>
      </c>
      <c r="L110" s="137"/>
      <c r="M110" s="52"/>
      <c r="P110" s="115"/>
    </row>
    <row r="111" spans="3:16" ht="12.75">
      <c r="C111" s="130"/>
      <c r="D111" s="107" t="s">
        <v>435</v>
      </c>
      <c r="E111" s="72" t="s">
        <v>283</v>
      </c>
      <c r="F111" s="68" t="s">
        <v>288</v>
      </c>
      <c r="G111" s="143">
        <f t="shared" si="0"/>
        <v>0</v>
      </c>
      <c r="H111" s="152"/>
      <c r="I111" s="152"/>
      <c r="J111" s="152"/>
      <c r="K111" s="152"/>
      <c r="L111" s="137"/>
      <c r="M111" s="52"/>
      <c r="P111" s="115"/>
    </row>
    <row r="112" spans="3:16" ht="12.75">
      <c r="C112" s="130"/>
      <c r="D112" s="107" t="s">
        <v>436</v>
      </c>
      <c r="E112" s="72" t="s">
        <v>285</v>
      </c>
      <c r="F112" s="68" t="s">
        <v>289</v>
      </c>
      <c r="G112" s="143">
        <f t="shared" si="0"/>
        <v>0</v>
      </c>
      <c r="H112" s="152"/>
      <c r="I112" s="152"/>
      <c r="J112" s="152"/>
      <c r="K112" s="152"/>
      <c r="L112" s="137"/>
      <c r="M112" s="52"/>
      <c r="P112" s="115"/>
    </row>
    <row r="113" spans="3:16" ht="22.5">
      <c r="C113" s="130"/>
      <c r="D113" s="107" t="s">
        <v>437</v>
      </c>
      <c r="E113" s="71" t="s">
        <v>514</v>
      </c>
      <c r="F113" s="68" t="s">
        <v>290</v>
      </c>
      <c r="G113" s="143">
        <f t="shared" si="0"/>
        <v>0</v>
      </c>
      <c r="H113" s="154">
        <f>H114+H115</f>
        <v>0</v>
      </c>
      <c r="I113" s="154">
        <f>I114+I115</f>
        <v>0</v>
      </c>
      <c r="J113" s="154">
        <f>J114+J115</f>
        <v>0</v>
      </c>
      <c r="K113" s="154">
        <f>K114+K115</f>
        <v>0</v>
      </c>
      <c r="L113" s="137"/>
      <c r="M113" s="52"/>
      <c r="P113" s="115"/>
    </row>
    <row r="114" spans="3:16" ht="12.75">
      <c r="C114" s="130"/>
      <c r="D114" s="107" t="s">
        <v>438</v>
      </c>
      <c r="E114" s="72" t="s">
        <v>283</v>
      </c>
      <c r="F114" s="68" t="s">
        <v>291</v>
      </c>
      <c r="G114" s="143">
        <f t="shared" si="0"/>
        <v>0</v>
      </c>
      <c r="H114" s="152"/>
      <c r="I114" s="152"/>
      <c r="J114" s="152"/>
      <c r="K114" s="152"/>
      <c r="L114" s="137"/>
      <c r="M114" s="52"/>
      <c r="P114" s="115"/>
    </row>
    <row r="115" spans="3:16" ht="12.75">
      <c r="C115" s="130"/>
      <c r="D115" s="107" t="s">
        <v>439</v>
      </c>
      <c r="E115" s="72" t="s">
        <v>285</v>
      </c>
      <c r="F115" s="68" t="s">
        <v>292</v>
      </c>
      <c r="G115" s="143">
        <f t="shared" si="0"/>
        <v>0</v>
      </c>
      <c r="H115" s="152"/>
      <c r="I115" s="152"/>
      <c r="J115" s="152"/>
      <c r="K115" s="152"/>
      <c r="L115" s="137"/>
      <c r="M115" s="52"/>
      <c r="P115" s="115"/>
    </row>
    <row r="116" spans="3:16" ht="22.5">
      <c r="C116" s="130"/>
      <c r="D116" s="107" t="s">
        <v>440</v>
      </c>
      <c r="E116" s="71" t="s">
        <v>293</v>
      </c>
      <c r="F116" s="68" t="s">
        <v>294</v>
      </c>
      <c r="G116" s="143">
        <f t="shared" si="0"/>
        <v>0</v>
      </c>
      <c r="H116" s="152"/>
      <c r="I116" s="152"/>
      <c r="J116" s="152"/>
      <c r="K116" s="152"/>
      <c r="L116" s="137"/>
      <c r="M116" s="52"/>
      <c r="P116" s="115"/>
    </row>
    <row r="117" spans="3:16" ht="12.75">
      <c r="C117" s="130"/>
      <c r="D117" s="107" t="s">
        <v>441</v>
      </c>
      <c r="E117" s="71" t="s">
        <v>295</v>
      </c>
      <c r="F117" s="68" t="s">
        <v>296</v>
      </c>
      <c r="G117" s="143">
        <f t="shared" si="0"/>
        <v>0</v>
      </c>
      <c r="H117" s="152"/>
      <c r="I117" s="152"/>
      <c r="J117" s="152"/>
      <c r="K117" s="152"/>
      <c r="L117" s="137"/>
      <c r="M117" s="52"/>
      <c r="P117" s="115"/>
    </row>
    <row r="118" spans="3:16" ht="45">
      <c r="C118" s="130"/>
      <c r="D118" s="107" t="s">
        <v>442</v>
      </c>
      <c r="E118" s="71" t="s">
        <v>479</v>
      </c>
      <c r="F118" s="68" t="s">
        <v>297</v>
      </c>
      <c r="G118" s="143">
        <f t="shared" si="0"/>
        <v>0</v>
      </c>
      <c r="H118" s="152"/>
      <c r="I118" s="152"/>
      <c r="J118" s="152"/>
      <c r="K118" s="152"/>
      <c r="L118" s="137"/>
      <c r="M118" s="52"/>
      <c r="P118" s="115"/>
    </row>
    <row r="119" spans="3:16" ht="22.5">
      <c r="C119" s="130"/>
      <c r="D119" s="107" t="s">
        <v>443</v>
      </c>
      <c r="E119" s="71" t="s">
        <v>298</v>
      </c>
      <c r="F119" s="68" t="s">
        <v>299</v>
      </c>
      <c r="G119" s="143">
        <f t="shared" si="0"/>
        <v>0</v>
      </c>
      <c r="H119" s="152"/>
      <c r="I119" s="152"/>
      <c r="J119" s="152"/>
      <c r="K119" s="152"/>
      <c r="L119" s="137"/>
      <c r="M119" s="52"/>
      <c r="P119" s="115"/>
    </row>
    <row r="120" spans="3:16" ht="12.75">
      <c r="C120" s="130"/>
      <c r="D120" s="107" t="s">
        <v>444</v>
      </c>
      <c r="E120" s="67" t="s">
        <v>515</v>
      </c>
      <c r="F120" s="68" t="s">
        <v>300</v>
      </c>
      <c r="G120" s="143">
        <f t="shared" si="0"/>
        <v>0</v>
      </c>
      <c r="H120" s="153">
        <f>H123</f>
        <v>0</v>
      </c>
      <c r="I120" s="153">
        <f>I123</f>
        <v>0</v>
      </c>
      <c r="J120" s="153">
        <f>J123</f>
        <v>0</v>
      </c>
      <c r="K120" s="153">
        <f>K123</f>
        <v>0</v>
      </c>
      <c r="L120" s="137"/>
      <c r="M120" s="52"/>
      <c r="P120" s="115">
        <v>770</v>
      </c>
    </row>
    <row r="121" spans="3:16" ht="12.75">
      <c r="C121" s="130"/>
      <c r="D121" s="107" t="s">
        <v>445</v>
      </c>
      <c r="E121" s="69" t="s">
        <v>508</v>
      </c>
      <c r="F121" s="68" t="s">
        <v>301</v>
      </c>
      <c r="G121" s="143">
        <f t="shared" si="0"/>
        <v>0</v>
      </c>
      <c r="H121" s="152"/>
      <c r="I121" s="152"/>
      <c r="J121" s="152"/>
      <c r="K121" s="152"/>
      <c r="L121" s="137"/>
      <c r="M121" s="52"/>
      <c r="P121" s="115">
        <v>780</v>
      </c>
    </row>
    <row r="122" spans="3:16" ht="12.75">
      <c r="C122" s="130"/>
      <c r="D122" s="107" t="s">
        <v>446</v>
      </c>
      <c r="E122" s="71" t="s">
        <v>516</v>
      </c>
      <c r="F122" s="68" t="s">
        <v>302</v>
      </c>
      <c r="G122" s="143">
        <f t="shared" si="0"/>
        <v>0</v>
      </c>
      <c r="H122" s="152"/>
      <c r="I122" s="152"/>
      <c r="J122" s="152"/>
      <c r="K122" s="152"/>
      <c r="L122" s="137"/>
      <c r="M122" s="52"/>
      <c r="P122" s="115"/>
    </row>
    <row r="123" spans="3:16" ht="12.75">
      <c r="C123" s="130"/>
      <c r="D123" s="107" t="s">
        <v>447</v>
      </c>
      <c r="E123" s="69" t="s">
        <v>478</v>
      </c>
      <c r="F123" s="68" t="s">
        <v>303</v>
      </c>
      <c r="G123" s="143">
        <f t="shared" si="0"/>
        <v>0</v>
      </c>
      <c r="H123" s="152"/>
      <c r="I123" s="152"/>
      <c r="J123" s="152"/>
      <c r="K123" s="152"/>
      <c r="L123" s="137"/>
      <c r="M123" s="52"/>
      <c r="P123" s="115">
        <v>790</v>
      </c>
    </row>
    <row r="124" spans="3:16" ht="22.5">
      <c r="C124" s="130"/>
      <c r="D124" s="107" t="s">
        <v>448</v>
      </c>
      <c r="E124" s="89" t="s">
        <v>517</v>
      </c>
      <c r="F124" s="68" t="s">
        <v>304</v>
      </c>
      <c r="G124" s="143">
        <f t="shared" si="0"/>
        <v>7059.9809999999998</v>
      </c>
      <c r="H124" s="153">
        <f>SUM(H125:H126)</f>
        <v>45.746000000000002</v>
      </c>
      <c r="I124" s="153">
        <f>SUM(I125:I126)</f>
        <v>3379.873</v>
      </c>
      <c r="J124" s="153">
        <f>SUM(J125:J126)</f>
        <v>2521.9539999999997</v>
      </c>
      <c r="K124" s="153">
        <f>SUM(K125:K126)</f>
        <v>1112.4079999999999</v>
      </c>
      <c r="L124" s="137"/>
      <c r="M124" s="52"/>
      <c r="P124" s="115"/>
    </row>
    <row r="125" spans="3:16" ht="12.75">
      <c r="C125" s="130"/>
      <c r="D125" s="107" t="s">
        <v>449</v>
      </c>
      <c r="E125" s="67" t="s">
        <v>167</v>
      </c>
      <c r="F125" s="68" t="s">
        <v>305</v>
      </c>
      <c r="G125" s="143">
        <f t="shared" si="0"/>
        <v>0</v>
      </c>
      <c r="H125" s="152"/>
      <c r="I125" s="152"/>
      <c r="J125" s="152"/>
      <c r="K125" s="152"/>
      <c r="L125" s="137"/>
      <c r="M125" s="52"/>
      <c r="P125" s="115"/>
    </row>
    <row r="126" spans="3:16" ht="12.75">
      <c r="C126" s="130"/>
      <c r="D126" s="107" t="s">
        <v>450</v>
      </c>
      <c r="E126" s="67" t="s">
        <v>507</v>
      </c>
      <c r="F126" s="68" t="s">
        <v>306</v>
      </c>
      <c r="G126" s="143">
        <f t="shared" si="0"/>
        <v>7059.9809999999998</v>
      </c>
      <c r="H126" s="153">
        <f>H128</f>
        <v>45.746000000000002</v>
      </c>
      <c r="I126" s="153">
        <f>I128</f>
        <v>3379.873</v>
      </c>
      <c r="J126" s="153">
        <f>J128</f>
        <v>2521.9539999999997</v>
      </c>
      <c r="K126" s="153">
        <f>K128</f>
        <v>1112.4079999999999</v>
      </c>
      <c r="L126" s="137"/>
      <c r="M126" s="52"/>
      <c r="P126" s="115"/>
    </row>
    <row r="127" spans="3:16" ht="12.75">
      <c r="C127" s="130"/>
      <c r="D127" s="107" t="s">
        <v>451</v>
      </c>
      <c r="E127" s="69" t="s">
        <v>272</v>
      </c>
      <c r="F127" s="68" t="s">
        <v>307</v>
      </c>
      <c r="G127" s="143">
        <f t="shared" si="0"/>
        <v>56.423000000000002</v>
      </c>
      <c r="H127" s="152"/>
      <c r="I127" s="152">
        <f>I94</f>
        <v>56.423000000000002</v>
      </c>
      <c r="J127" s="152"/>
      <c r="K127" s="152"/>
      <c r="L127" s="137"/>
      <c r="M127" s="52"/>
      <c r="P127" s="115"/>
    </row>
    <row r="128" spans="3:16" ht="12.75">
      <c r="C128" s="130"/>
      <c r="D128" s="107" t="s">
        <v>452</v>
      </c>
      <c r="E128" s="69" t="s">
        <v>478</v>
      </c>
      <c r="F128" s="68" t="s">
        <v>308</v>
      </c>
      <c r="G128" s="143">
        <f t="shared" si="0"/>
        <v>7059.9809999999998</v>
      </c>
      <c r="H128" s="152">
        <f>H48+H34</f>
        <v>45.746000000000002</v>
      </c>
      <c r="I128" s="152">
        <f>I34+74.714</f>
        <v>3379.873</v>
      </c>
      <c r="J128" s="152">
        <f>J34+3.798+19.971+57.045</f>
        <v>2521.9539999999997</v>
      </c>
      <c r="K128" s="152">
        <f>K34</f>
        <v>1112.4079999999999</v>
      </c>
      <c r="L128" s="137"/>
      <c r="M128" s="52"/>
      <c r="P128" s="115"/>
    </row>
    <row r="129" spans="3:16" ht="12.75">
      <c r="C129" s="130"/>
      <c r="D129" s="174" t="s">
        <v>203</v>
      </c>
      <c r="E129" s="175"/>
      <c r="F129" s="175"/>
      <c r="G129" s="175"/>
      <c r="H129" s="175"/>
      <c r="I129" s="175"/>
      <c r="J129" s="175"/>
      <c r="K129" s="176"/>
      <c r="L129" s="137"/>
      <c r="M129" s="52"/>
      <c r="P129" s="117"/>
    </row>
    <row r="130" spans="3:16" ht="22.5">
      <c r="C130" s="130"/>
      <c r="D130" s="107" t="s">
        <v>453</v>
      </c>
      <c r="E130" s="88" t="s">
        <v>518</v>
      </c>
      <c r="F130" s="68" t="s">
        <v>309</v>
      </c>
      <c r="G130" s="143">
        <f t="shared" si="0"/>
        <v>0</v>
      </c>
      <c r="H130" s="153">
        <f>SUM( H131:H132)</f>
        <v>0</v>
      </c>
      <c r="I130" s="153">
        <f>SUM( I131:I132)</f>
        <v>0</v>
      </c>
      <c r="J130" s="153">
        <f>SUM( J131:J132)</f>
        <v>0</v>
      </c>
      <c r="K130" s="153">
        <f>SUM( K131:K132)</f>
        <v>0</v>
      </c>
      <c r="L130" s="137"/>
      <c r="M130" s="52"/>
      <c r="P130" s="115">
        <v>800</v>
      </c>
    </row>
    <row r="131" spans="3:16" ht="12.75">
      <c r="C131" s="130"/>
      <c r="D131" s="107" t="s">
        <v>454</v>
      </c>
      <c r="E131" s="67" t="s">
        <v>167</v>
      </c>
      <c r="F131" s="68" t="s">
        <v>310</v>
      </c>
      <c r="G131" s="143">
        <f t="shared" si="0"/>
        <v>0</v>
      </c>
      <c r="H131" s="152"/>
      <c r="I131" s="152"/>
      <c r="J131" s="152"/>
      <c r="K131" s="152"/>
      <c r="L131" s="137"/>
      <c r="M131" s="52"/>
      <c r="P131" s="115">
        <v>810</v>
      </c>
    </row>
    <row r="132" spans="3:16" ht="12.75">
      <c r="C132" s="130"/>
      <c r="D132" s="107" t="s">
        <v>455</v>
      </c>
      <c r="E132" s="67" t="s">
        <v>507</v>
      </c>
      <c r="F132" s="68" t="s">
        <v>311</v>
      </c>
      <c r="G132" s="143">
        <f t="shared" si="0"/>
        <v>0</v>
      </c>
      <c r="H132" s="153">
        <f>H133+H135</f>
        <v>0</v>
      </c>
      <c r="I132" s="153">
        <f>I133+I135</f>
        <v>0</v>
      </c>
      <c r="J132" s="153">
        <f>J133+J135</f>
        <v>0</v>
      </c>
      <c r="K132" s="153">
        <f>K133+K135</f>
        <v>0</v>
      </c>
      <c r="L132" s="137"/>
      <c r="M132" s="52"/>
      <c r="P132" s="115">
        <v>820</v>
      </c>
    </row>
    <row r="133" spans="3:16" ht="12.75">
      <c r="C133" s="130"/>
      <c r="D133" s="107" t="s">
        <v>456</v>
      </c>
      <c r="E133" s="69" t="s">
        <v>519</v>
      </c>
      <c r="F133" s="68" t="s">
        <v>312</v>
      </c>
      <c r="G133" s="143">
        <f t="shared" si="0"/>
        <v>0</v>
      </c>
      <c r="H133" s="152"/>
      <c r="I133" s="152"/>
      <c r="J133" s="152"/>
      <c r="K133" s="152"/>
      <c r="L133" s="137"/>
      <c r="M133" s="52"/>
      <c r="P133" s="115">
        <v>830</v>
      </c>
    </row>
    <row r="134" spans="3:16" ht="12.75">
      <c r="C134" s="130"/>
      <c r="D134" s="107" t="s">
        <v>457</v>
      </c>
      <c r="E134" s="71" t="s">
        <v>520</v>
      </c>
      <c r="F134" s="68" t="s">
        <v>313</v>
      </c>
      <c r="G134" s="143">
        <f t="shared" si="0"/>
        <v>0</v>
      </c>
      <c r="H134" s="152"/>
      <c r="I134" s="152"/>
      <c r="J134" s="152"/>
      <c r="K134" s="152"/>
      <c r="L134" s="137"/>
      <c r="M134" s="52"/>
      <c r="P134" s="117"/>
    </row>
    <row r="135" spans="3:16" ht="12.75">
      <c r="C135" s="130"/>
      <c r="D135" s="107" t="s">
        <v>458</v>
      </c>
      <c r="E135" s="69" t="s">
        <v>169</v>
      </c>
      <c r="F135" s="68" t="s">
        <v>314</v>
      </c>
      <c r="G135" s="143">
        <f t="shared" si="0"/>
        <v>0</v>
      </c>
      <c r="H135" s="152"/>
      <c r="I135" s="152"/>
      <c r="J135" s="152"/>
      <c r="K135" s="152"/>
      <c r="L135" s="137"/>
      <c r="M135" s="52"/>
      <c r="P135" s="115">
        <v>840</v>
      </c>
    </row>
    <row r="136" spans="3:16" ht="12.75">
      <c r="C136" s="130"/>
      <c r="D136" s="107" t="s">
        <v>336</v>
      </c>
      <c r="E136" s="88" t="s">
        <v>521</v>
      </c>
      <c r="F136" s="68" t="s">
        <v>315</v>
      </c>
      <c r="G136" s="143">
        <f t="shared" si="0"/>
        <v>0</v>
      </c>
      <c r="H136" s="154">
        <f>SUM( H137+H142)</f>
        <v>0</v>
      </c>
      <c r="I136" s="154">
        <f>SUM( I137+I142)</f>
        <v>0</v>
      </c>
      <c r="J136" s="154">
        <f>SUM( J137+J142)</f>
        <v>0</v>
      </c>
      <c r="K136" s="154">
        <f>SUM( K137+K142)</f>
        <v>0</v>
      </c>
      <c r="L136" s="155"/>
      <c r="M136" s="52"/>
      <c r="P136" s="115">
        <v>850</v>
      </c>
    </row>
    <row r="137" spans="3:16" ht="12.75">
      <c r="C137" s="130"/>
      <c r="D137" s="107" t="s">
        <v>459</v>
      </c>
      <c r="E137" s="67" t="s">
        <v>167</v>
      </c>
      <c r="F137" s="68" t="s">
        <v>316</v>
      </c>
      <c r="G137" s="143">
        <f t="shared" ref="G137:G150" si="1">SUM(H137:K137)</f>
        <v>0</v>
      </c>
      <c r="H137" s="154">
        <f>SUM( H138:H139)</f>
        <v>0</v>
      </c>
      <c r="I137" s="154">
        <f>SUM( I138:I139)</f>
        <v>0</v>
      </c>
      <c r="J137" s="154">
        <f>SUM( J138:J139)</f>
        <v>0</v>
      </c>
      <c r="K137" s="154">
        <f>SUM( K138:K139)</f>
        <v>0</v>
      </c>
      <c r="L137" s="155"/>
      <c r="M137" s="52"/>
      <c r="P137" s="115">
        <v>860</v>
      </c>
    </row>
    <row r="138" spans="3:16" ht="12.75">
      <c r="C138" s="130"/>
      <c r="D138" s="107" t="s">
        <v>460</v>
      </c>
      <c r="E138" s="69" t="s">
        <v>222</v>
      </c>
      <c r="F138" s="68" t="s">
        <v>317</v>
      </c>
      <c r="G138" s="143">
        <f t="shared" si="1"/>
        <v>0</v>
      </c>
      <c r="H138" s="156"/>
      <c r="I138" s="156"/>
      <c r="J138" s="156"/>
      <c r="K138" s="156"/>
      <c r="L138" s="155"/>
      <c r="M138" s="52"/>
      <c r="P138" s="115"/>
    </row>
    <row r="139" spans="3:16" ht="12.75">
      <c r="C139" s="130"/>
      <c r="D139" s="107" t="s">
        <v>461</v>
      </c>
      <c r="E139" s="69" t="s">
        <v>511</v>
      </c>
      <c r="F139" s="68" t="s">
        <v>318</v>
      </c>
      <c r="G139" s="143">
        <f t="shared" si="1"/>
        <v>0</v>
      </c>
      <c r="H139" s="154">
        <f>H140+H141</f>
        <v>0</v>
      </c>
      <c r="I139" s="154">
        <f>I140+I141</f>
        <v>0</v>
      </c>
      <c r="J139" s="154">
        <f>J140+J141</f>
        <v>0</v>
      </c>
      <c r="K139" s="154">
        <f>K140+K141</f>
        <v>0</v>
      </c>
      <c r="L139" s="155"/>
      <c r="M139" s="52"/>
      <c r="P139" s="115"/>
    </row>
    <row r="140" spans="3:16" ht="12.75">
      <c r="C140" s="130"/>
      <c r="D140" s="107" t="s">
        <v>462</v>
      </c>
      <c r="E140" s="71" t="s">
        <v>283</v>
      </c>
      <c r="F140" s="68" t="s">
        <v>319</v>
      </c>
      <c r="G140" s="143">
        <f t="shared" si="1"/>
        <v>0</v>
      </c>
      <c r="H140" s="156"/>
      <c r="I140" s="156"/>
      <c r="J140" s="156"/>
      <c r="K140" s="156"/>
      <c r="L140" s="155"/>
      <c r="M140" s="52"/>
      <c r="P140" s="115"/>
    </row>
    <row r="141" spans="3:16" ht="12.75">
      <c r="C141" s="130"/>
      <c r="D141" s="107" t="s">
        <v>463</v>
      </c>
      <c r="E141" s="71" t="s">
        <v>320</v>
      </c>
      <c r="F141" s="68" t="s">
        <v>321</v>
      </c>
      <c r="G141" s="143">
        <f t="shared" si="1"/>
        <v>0</v>
      </c>
      <c r="H141" s="156"/>
      <c r="I141" s="156"/>
      <c r="J141" s="156"/>
      <c r="K141" s="156"/>
      <c r="L141" s="155"/>
      <c r="M141" s="52"/>
      <c r="P141" s="115"/>
    </row>
    <row r="142" spans="3:16" ht="12.75">
      <c r="C142" s="130"/>
      <c r="D142" s="107" t="s">
        <v>464</v>
      </c>
      <c r="E142" s="67" t="s">
        <v>515</v>
      </c>
      <c r="F142" s="68" t="s">
        <v>322</v>
      </c>
      <c r="G142" s="143">
        <f t="shared" si="1"/>
        <v>0</v>
      </c>
      <c r="H142" s="154">
        <f>H143+H145</f>
        <v>0</v>
      </c>
      <c r="I142" s="154">
        <f>I143+I145</f>
        <v>0</v>
      </c>
      <c r="J142" s="154">
        <f>J143+J145</f>
        <v>0</v>
      </c>
      <c r="K142" s="154">
        <f>K143+K145</f>
        <v>0</v>
      </c>
      <c r="L142" s="155"/>
      <c r="M142" s="52"/>
      <c r="P142" s="115">
        <v>870</v>
      </c>
    </row>
    <row r="143" spans="3:16" ht="12.75">
      <c r="C143" s="130"/>
      <c r="D143" s="107" t="s">
        <v>465</v>
      </c>
      <c r="E143" s="69" t="s">
        <v>519</v>
      </c>
      <c r="F143" s="68" t="s">
        <v>323</v>
      </c>
      <c r="G143" s="143">
        <f t="shared" si="1"/>
        <v>0</v>
      </c>
      <c r="H143" s="152"/>
      <c r="I143" s="152"/>
      <c r="J143" s="152"/>
      <c r="K143" s="152"/>
      <c r="L143" s="155"/>
      <c r="M143" s="52"/>
      <c r="P143" s="115">
        <v>880</v>
      </c>
    </row>
    <row r="144" spans="3:16" ht="12.75">
      <c r="C144" s="130"/>
      <c r="D144" s="107" t="s">
        <v>466</v>
      </c>
      <c r="E144" s="71" t="s">
        <v>520</v>
      </c>
      <c r="F144" s="68" t="s">
        <v>324</v>
      </c>
      <c r="G144" s="143">
        <f t="shared" si="1"/>
        <v>0</v>
      </c>
      <c r="H144" s="152"/>
      <c r="I144" s="152"/>
      <c r="J144" s="152"/>
      <c r="K144" s="152"/>
      <c r="L144" s="155"/>
      <c r="M144" s="52"/>
      <c r="P144" s="115"/>
    </row>
    <row r="145" spans="3:19" ht="12.75">
      <c r="C145" s="130"/>
      <c r="D145" s="107" t="s">
        <v>467</v>
      </c>
      <c r="E145" s="69" t="s">
        <v>169</v>
      </c>
      <c r="F145" s="68" t="s">
        <v>325</v>
      </c>
      <c r="G145" s="143">
        <f t="shared" si="1"/>
        <v>0</v>
      </c>
      <c r="H145" s="157"/>
      <c r="I145" s="157"/>
      <c r="J145" s="157"/>
      <c r="K145" s="157"/>
      <c r="L145" s="155"/>
      <c r="M145" s="52"/>
      <c r="P145" s="115">
        <v>890</v>
      </c>
    </row>
    <row r="146" spans="3:19" ht="22.5">
      <c r="C146" s="130"/>
      <c r="D146" s="107" t="s">
        <v>468</v>
      </c>
      <c r="E146" s="88" t="s">
        <v>522</v>
      </c>
      <c r="F146" s="68" t="s">
        <v>326</v>
      </c>
      <c r="G146" s="143">
        <f t="shared" si="1"/>
        <v>4198.8029932560003</v>
      </c>
      <c r="H146" s="158">
        <f>SUM( H147:H148)</f>
        <v>4.49042736</v>
      </c>
      <c r="I146" s="158">
        <f>SUM( I147:I148)</f>
        <v>3837.5635919760002</v>
      </c>
      <c r="J146" s="158">
        <f>SUM( J147:J148)</f>
        <v>247.55500463999999</v>
      </c>
      <c r="K146" s="158">
        <f>SUM( K147:K148)</f>
        <v>109.19396927999999</v>
      </c>
      <c r="L146" s="155"/>
      <c r="M146" s="52"/>
      <c r="P146" s="115">
        <v>900</v>
      </c>
    </row>
    <row r="147" spans="3:19" ht="12.75">
      <c r="C147" s="130"/>
      <c r="D147" s="107" t="s">
        <v>469</v>
      </c>
      <c r="E147" s="67" t="s">
        <v>167</v>
      </c>
      <c r="F147" s="68" t="s">
        <v>327</v>
      </c>
      <c r="G147" s="143">
        <f t="shared" si="1"/>
        <v>0</v>
      </c>
      <c r="H147" s="157"/>
      <c r="I147" s="157"/>
      <c r="J147" s="157"/>
      <c r="K147" s="157"/>
      <c r="L147" s="155"/>
      <c r="M147" s="52"/>
      <c r="P147" s="115"/>
    </row>
    <row r="148" spans="3:19" ht="12.75">
      <c r="C148" s="130"/>
      <c r="D148" s="107" t="s">
        <v>470</v>
      </c>
      <c r="E148" s="67" t="s">
        <v>507</v>
      </c>
      <c r="F148" s="68" t="s">
        <v>328</v>
      </c>
      <c r="G148" s="143">
        <f t="shared" si="1"/>
        <v>4198.8029932560003</v>
      </c>
      <c r="H148" s="158">
        <f>H149+H150</f>
        <v>4.49042736</v>
      </c>
      <c r="I148" s="158">
        <f>I149+I150</f>
        <v>3837.5635919760002</v>
      </c>
      <c r="J148" s="158">
        <f>J149+J150</f>
        <v>247.55500463999999</v>
      </c>
      <c r="K148" s="158">
        <f>K149+K150</f>
        <v>109.19396927999999</v>
      </c>
      <c r="L148" s="155"/>
      <c r="M148" s="52"/>
      <c r="P148" s="115"/>
    </row>
    <row r="149" spans="3:19" ht="12.75">
      <c r="C149" s="130"/>
      <c r="D149" s="107" t="s">
        <v>471</v>
      </c>
      <c r="E149" s="69" t="s">
        <v>168</v>
      </c>
      <c r="F149" s="68" t="s">
        <v>331</v>
      </c>
      <c r="G149" s="143">
        <f t="shared" si="1"/>
        <v>3505.7952582960002</v>
      </c>
      <c r="H149" s="157"/>
      <c r="I149" s="157">
        <f>I127*51778.46/1000*1.2</f>
        <v>3505.7952582960002</v>
      </c>
      <c r="J149" s="157"/>
      <c r="K149" s="157"/>
      <c r="L149" s="155"/>
      <c r="M149" s="52"/>
      <c r="P149" s="115" t="s">
        <v>329</v>
      </c>
    </row>
    <row r="150" spans="3:19" ht="12.75">
      <c r="C150" s="130"/>
      <c r="D150" s="107" t="s">
        <v>472</v>
      </c>
      <c r="E150" s="69" t="s">
        <v>169</v>
      </c>
      <c r="F150" s="68" t="s">
        <v>332</v>
      </c>
      <c r="G150" s="143">
        <f t="shared" si="1"/>
        <v>693.00773495999999</v>
      </c>
      <c r="H150" s="157">
        <f>H128*81.8/1000*1.2</f>
        <v>4.49042736</v>
      </c>
      <c r="I150" s="157">
        <f>I128*81.8/1000*1.2</f>
        <v>331.76833367999996</v>
      </c>
      <c r="J150" s="157">
        <f>J128*81.8/1000*1.2</f>
        <v>247.55500463999999</v>
      </c>
      <c r="K150" s="157">
        <f>K128*81.8/1000*1.2</f>
        <v>109.19396927999999</v>
      </c>
      <c r="L150" s="155"/>
      <c r="M150" s="52"/>
      <c r="P150" s="115" t="s">
        <v>330</v>
      </c>
    </row>
    <row r="151" spans="3:19">
      <c r="D151" s="135"/>
      <c r="E151" s="159"/>
      <c r="F151" s="159"/>
      <c r="G151" s="159"/>
      <c r="H151" s="159"/>
      <c r="I151" s="159"/>
      <c r="J151" s="159"/>
      <c r="K151" s="160"/>
      <c r="L151" s="160"/>
      <c r="M151" s="160"/>
      <c r="N151" s="160"/>
      <c r="O151" s="160"/>
      <c r="P151" s="160"/>
      <c r="Q151" s="160"/>
      <c r="R151" s="161"/>
      <c r="S151" s="161"/>
    </row>
    <row r="152" spans="3:19" ht="12.75">
      <c r="E152" s="52" t="s">
        <v>204</v>
      </c>
      <c r="F152" s="180" t="str">
        <f>IF([5]Титульный!G45="","",[5]Титульный!G45)</f>
        <v>ведущий экономист</v>
      </c>
      <c r="G152" s="180"/>
      <c r="H152" s="53"/>
      <c r="I152" s="180" t="str">
        <f>IF([5]Титульный!G44="","",[5]Титульный!G44)</f>
        <v>Кривнева Е.В.</v>
      </c>
      <c r="J152" s="180"/>
      <c r="K152" s="180"/>
      <c r="L152" s="53"/>
      <c r="M152" s="55"/>
      <c r="N152" s="55"/>
      <c r="O152" s="54"/>
      <c r="P152" s="160"/>
      <c r="Q152" s="160"/>
      <c r="R152" s="161"/>
      <c r="S152" s="161"/>
    </row>
    <row r="153" spans="3:19" ht="12.75">
      <c r="E153" s="56" t="s">
        <v>205</v>
      </c>
      <c r="F153" s="181" t="s">
        <v>176</v>
      </c>
      <c r="G153" s="181"/>
      <c r="H153" s="54"/>
      <c r="I153" s="181" t="s">
        <v>174</v>
      </c>
      <c r="J153" s="181"/>
      <c r="K153" s="181"/>
      <c r="L153" s="54"/>
      <c r="M153" s="181" t="s">
        <v>175</v>
      </c>
      <c r="N153" s="181"/>
      <c r="O153" s="52"/>
      <c r="P153" s="160"/>
      <c r="Q153" s="160"/>
      <c r="R153" s="161"/>
      <c r="S153" s="161"/>
    </row>
    <row r="154" spans="3:19" ht="12.75">
      <c r="E154" s="56" t="s">
        <v>206</v>
      </c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160"/>
      <c r="Q154" s="160"/>
      <c r="R154" s="161"/>
      <c r="S154" s="161"/>
    </row>
    <row r="155" spans="3:19" ht="12.75">
      <c r="E155" s="56" t="s">
        <v>207</v>
      </c>
      <c r="F155" s="180" t="str">
        <f>IF([5]Титульный!G46="","",[5]Титульный!G46)</f>
        <v>(861) 258-50-71</v>
      </c>
      <c r="G155" s="180"/>
      <c r="H155" s="180"/>
      <c r="I155" s="52"/>
      <c r="J155" s="56" t="s">
        <v>177</v>
      </c>
      <c r="K155" s="124"/>
      <c r="L155" s="52"/>
      <c r="M155" s="52"/>
      <c r="N155" s="52"/>
      <c r="O155" s="52"/>
      <c r="P155" s="160"/>
      <c r="Q155" s="160"/>
      <c r="R155" s="161"/>
      <c r="S155" s="161"/>
    </row>
    <row r="156" spans="3:19" ht="12.75">
      <c r="E156" s="52" t="s">
        <v>208</v>
      </c>
      <c r="F156" s="182" t="s">
        <v>178</v>
      </c>
      <c r="G156" s="182"/>
      <c r="H156" s="182"/>
      <c r="I156" s="52"/>
      <c r="J156" s="57" t="s">
        <v>179</v>
      </c>
      <c r="K156" s="57"/>
      <c r="L156" s="52"/>
      <c r="M156" s="52"/>
      <c r="N156" s="52"/>
      <c r="O156" s="52"/>
      <c r="P156" s="160"/>
      <c r="Q156" s="160"/>
      <c r="R156" s="161"/>
      <c r="S156" s="161"/>
    </row>
    <row r="157" spans="3:19"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1"/>
      <c r="S157" s="161"/>
    </row>
    <row r="158" spans="3:19"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1"/>
      <c r="S158" s="161"/>
    </row>
    <row r="159" spans="3:19"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1"/>
      <c r="S159" s="161"/>
    </row>
    <row r="160" spans="3:19"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1"/>
      <c r="S160" s="161"/>
    </row>
    <row r="161" spans="5:19"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1"/>
      <c r="S161" s="161"/>
    </row>
    <row r="162" spans="5:19"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1"/>
      <c r="S162" s="161"/>
    </row>
    <row r="163" spans="5:19"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1"/>
      <c r="S163" s="161"/>
    </row>
    <row r="164" spans="5:19"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1"/>
      <c r="S164" s="161"/>
    </row>
    <row r="165" spans="5:19">
      <c r="E165" s="160"/>
      <c r="F165" s="160"/>
      <c r="G165" s="160"/>
      <c r="H165" s="160"/>
      <c r="I165" s="160"/>
      <c r="J165" s="160"/>
      <c r="K165" s="160"/>
      <c r="L165" s="160"/>
      <c r="M165" s="160"/>
      <c r="N165" s="160"/>
      <c r="O165" s="160"/>
      <c r="P165" s="160"/>
      <c r="Q165" s="160"/>
      <c r="R165" s="161"/>
      <c r="S165" s="161"/>
    </row>
    <row r="166" spans="5:19">
      <c r="E166" s="160"/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1"/>
      <c r="S166" s="161"/>
    </row>
    <row r="167" spans="5:19"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1"/>
      <c r="S167" s="161"/>
    </row>
    <row r="168" spans="5:19"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1"/>
      <c r="S168" s="161"/>
    </row>
    <row r="169" spans="5:19"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1"/>
      <c r="S169" s="161"/>
    </row>
    <row r="170" spans="5:19"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1"/>
      <c r="S170" s="161"/>
    </row>
    <row r="171" spans="5:19"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1"/>
      <c r="S171" s="161"/>
    </row>
    <row r="172" spans="5:19"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1"/>
      <c r="S172" s="161"/>
    </row>
    <row r="173" spans="5:19"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1"/>
      <c r="S173" s="161"/>
    </row>
    <row r="174" spans="5:19"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1"/>
      <c r="S174" s="161"/>
    </row>
    <row r="175" spans="5:19"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1"/>
      <c r="S175" s="161"/>
    </row>
    <row r="176" spans="5:19"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1"/>
      <c r="S176" s="161"/>
    </row>
    <row r="177" spans="5:19"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1"/>
      <c r="S177" s="161"/>
    </row>
    <row r="178" spans="5:19"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1"/>
      <c r="S178" s="161"/>
    </row>
    <row r="179" spans="5:19"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1"/>
      <c r="S179" s="161"/>
    </row>
    <row r="180" spans="5:19"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1"/>
      <c r="S180" s="161"/>
    </row>
    <row r="181" spans="5:19"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1"/>
      <c r="S181" s="161"/>
    </row>
    <row r="182" spans="5:19"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</row>
    <row r="183" spans="5:19">
      <c r="E183" s="161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</row>
    <row r="184" spans="5:19"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</row>
    <row r="185" spans="5:19"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  <c r="P185" s="161"/>
      <c r="Q185" s="161"/>
      <c r="R185" s="161"/>
      <c r="S185" s="161"/>
    </row>
  </sheetData>
  <mergeCells count="18"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  <mergeCell ref="F153:G153"/>
    <mergeCell ref="I153:K153"/>
    <mergeCell ref="M153:N153"/>
    <mergeCell ref="F155:H155"/>
    <mergeCell ref="F156:H156"/>
  </mergeCells>
  <dataValidations count="2">
    <dataValidation allowBlank="1" showInputMessage="1" promptTitle="Ввод" prompt="Для выбора организации необходимо два раза нажать левую клавишу мыши!" sqref="E42 E25:E26 E81 E64:E65"/>
    <dataValidation type="decimal" allowBlank="1" showErrorMessage="1" errorTitle="Ошибка" error="Допускается ввод только действительных чисел!" sqref="G62:K65 G93:K95 G67:K81 G15:K18 G83:K91 G97:K128 G23:K26 G44:K52 G28:K42 G130:K150 G59:K60 G20:K21 G54:K57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CC185"/>
  <sheetViews>
    <sheetView topLeftCell="C124" workbookViewId="0">
      <selection activeCell="K150" sqref="K150"/>
    </sheetView>
  </sheetViews>
  <sheetFormatPr defaultRowHeight="11.25"/>
  <cols>
    <col min="1" max="2" width="9.140625" style="125" hidden="1" customWidth="1"/>
    <col min="3" max="3" width="4.140625" style="125" customWidth="1"/>
    <col min="4" max="4" width="9.140625" style="125" customWidth="1"/>
    <col min="5" max="5" width="69" style="125" customWidth="1"/>
    <col min="6" max="6" width="6.7109375" style="125" customWidth="1"/>
    <col min="7" max="11" width="15.7109375" style="125" customWidth="1"/>
    <col min="12" max="12" width="6.7109375" style="125" customWidth="1"/>
    <col min="13" max="16" width="15.7109375" style="125" customWidth="1"/>
    <col min="17" max="35" width="11.7109375" style="125" customWidth="1"/>
    <col min="36" max="16384" width="9.140625" style="125"/>
  </cols>
  <sheetData>
    <row r="1" spans="1:81" hidden="1">
      <c r="S1" s="126"/>
      <c r="T1" s="126"/>
      <c r="U1" s="126"/>
      <c r="V1" s="126"/>
      <c r="Y1" s="126"/>
      <c r="AA1" s="126"/>
      <c r="AN1" s="126"/>
      <c r="AO1" s="126"/>
      <c r="AP1" s="126"/>
      <c r="BC1" s="126"/>
      <c r="BF1" s="126"/>
      <c r="BG1" s="126"/>
      <c r="BI1" s="126"/>
      <c r="BM1" s="126"/>
      <c r="BO1" s="126"/>
      <c r="BX1" s="126"/>
      <c r="BY1" s="126"/>
      <c r="CC1" s="126"/>
    </row>
    <row r="2" spans="1:81" hidden="1"/>
    <row r="3" spans="1:81" hidden="1"/>
    <row r="4" spans="1:81" hidden="1">
      <c r="A4" s="127"/>
      <c r="F4" s="128"/>
      <c r="G4" s="128"/>
      <c r="H4" s="128"/>
      <c r="I4" s="128"/>
      <c r="J4" s="128"/>
      <c r="K4" s="128"/>
      <c r="M4" s="128"/>
      <c r="N4" s="128"/>
      <c r="O4" s="128"/>
      <c r="P4" s="128"/>
      <c r="Q4" s="128"/>
    </row>
    <row r="5" spans="1:81" hidden="1">
      <c r="A5" s="129"/>
      <c r="F5" s="125" t="s">
        <v>142</v>
      </c>
      <c r="G5" s="125" t="s">
        <v>143</v>
      </c>
      <c r="H5" s="125" t="s">
        <v>144</v>
      </c>
      <c r="I5" s="125" t="s">
        <v>145</v>
      </c>
      <c r="J5" s="125" t="s">
        <v>146</v>
      </c>
      <c r="K5" s="125" t="s">
        <v>147</v>
      </c>
      <c r="L5" s="125" t="s">
        <v>148</v>
      </c>
      <c r="M5" s="125" t="s">
        <v>149</v>
      </c>
      <c r="N5" s="125" t="s">
        <v>149</v>
      </c>
      <c r="O5" s="125" t="s">
        <v>150</v>
      </c>
      <c r="P5" s="125" t="s">
        <v>151</v>
      </c>
      <c r="Q5" s="125" t="s">
        <v>152</v>
      </c>
    </row>
    <row r="6" spans="1:81" hidden="1">
      <c r="A6" s="129"/>
    </row>
    <row r="7" spans="1:81" ht="12" customHeight="1">
      <c r="A7" s="129"/>
      <c r="D7" s="130"/>
      <c r="E7" s="130"/>
      <c r="F7" s="130"/>
      <c r="G7" s="130"/>
      <c r="H7" s="130"/>
      <c r="I7" s="130"/>
      <c r="J7" s="130"/>
      <c r="K7" s="131"/>
      <c r="Q7" s="132"/>
    </row>
    <row r="8" spans="1:81" ht="22.5" customHeight="1">
      <c r="A8" s="129"/>
      <c r="D8" s="183" t="s">
        <v>153</v>
      </c>
      <c r="E8" s="18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</row>
    <row r="9" spans="1:81">
      <c r="A9" s="129"/>
      <c r="D9" s="164">
        <v>44743</v>
      </c>
      <c r="E9" s="134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</row>
    <row r="10" spans="1:81" ht="12" customHeight="1">
      <c r="D10" s="135"/>
      <c r="E10" s="135"/>
      <c r="F10" s="130"/>
      <c r="G10" s="130"/>
      <c r="H10" s="130"/>
      <c r="I10" s="130"/>
      <c r="K10" s="136" t="s">
        <v>132</v>
      </c>
    </row>
    <row r="11" spans="1:81" ht="15" customHeight="1">
      <c r="C11" s="130"/>
      <c r="D11" s="172" t="s">
        <v>140</v>
      </c>
      <c r="E11" s="185" t="s">
        <v>154</v>
      </c>
      <c r="F11" s="185" t="s">
        <v>133</v>
      </c>
      <c r="G11" s="185" t="s">
        <v>155</v>
      </c>
      <c r="H11" s="185" t="s">
        <v>156</v>
      </c>
      <c r="I11" s="185"/>
      <c r="J11" s="185"/>
      <c r="K11" s="187"/>
      <c r="L11" s="137"/>
    </row>
    <row r="12" spans="1:81" ht="15" customHeight="1">
      <c r="C12" s="130"/>
      <c r="D12" s="184"/>
      <c r="E12" s="186"/>
      <c r="F12" s="186"/>
      <c r="G12" s="186"/>
      <c r="H12" s="163" t="s">
        <v>134</v>
      </c>
      <c r="I12" s="163" t="s">
        <v>135</v>
      </c>
      <c r="J12" s="163" t="s">
        <v>136</v>
      </c>
      <c r="K12" s="139" t="s">
        <v>137</v>
      </c>
      <c r="L12" s="137"/>
    </row>
    <row r="13" spans="1:81" ht="12" customHeight="1">
      <c r="D13" s="25">
        <v>0</v>
      </c>
      <c r="E13" s="25">
        <v>1</v>
      </c>
      <c r="F13" s="25">
        <v>2</v>
      </c>
      <c r="G13" s="25">
        <v>3</v>
      </c>
      <c r="H13" s="25">
        <v>4</v>
      </c>
      <c r="I13" s="25">
        <v>5</v>
      </c>
      <c r="J13" s="25">
        <v>6</v>
      </c>
      <c r="K13" s="25">
        <v>7</v>
      </c>
    </row>
    <row r="14" spans="1:81" s="140" customFormat="1" ht="15" customHeight="1">
      <c r="C14" s="141"/>
      <c r="D14" s="174" t="s">
        <v>200</v>
      </c>
      <c r="E14" s="175"/>
      <c r="F14" s="175"/>
      <c r="G14" s="175"/>
      <c r="H14" s="175"/>
      <c r="I14" s="175"/>
      <c r="J14" s="175"/>
      <c r="K14" s="176"/>
      <c r="L14" s="142"/>
    </row>
    <row r="15" spans="1:81" s="140" customFormat="1" ht="15" customHeight="1">
      <c r="C15" s="141"/>
      <c r="D15" s="106" t="s">
        <v>370</v>
      </c>
      <c r="E15" s="88" t="s">
        <v>498</v>
      </c>
      <c r="F15" s="68">
        <v>10</v>
      </c>
      <c r="G15" s="143">
        <f>SUM(H15:K15)</f>
        <v>8097.1450000000004</v>
      </c>
      <c r="H15" s="143">
        <f>H16+H17+H20+H23</f>
        <v>1120.2809999999999</v>
      </c>
      <c r="I15" s="143">
        <f>I16+I17+I20+I23</f>
        <v>5030.0420000000004</v>
      </c>
      <c r="J15" s="143">
        <f>J16+J17+J20+J23</f>
        <v>1946.8220000000001</v>
      </c>
      <c r="K15" s="143">
        <f>K16+K17+K20+K23</f>
        <v>0</v>
      </c>
      <c r="L15" s="142"/>
      <c r="M15" s="52"/>
      <c r="P15" s="115">
        <v>10</v>
      </c>
    </row>
    <row r="16" spans="1:81" s="140" customFormat="1" ht="15" customHeight="1">
      <c r="C16" s="141"/>
      <c r="D16" s="106" t="s">
        <v>371</v>
      </c>
      <c r="E16" s="67" t="s">
        <v>210</v>
      </c>
      <c r="F16" s="68">
        <v>20</v>
      </c>
      <c r="G16" s="143">
        <f t="shared" ref="G16:G136" si="0">SUM(H16:K16)</f>
        <v>0</v>
      </c>
      <c r="H16" s="122"/>
      <c r="I16" s="122"/>
      <c r="J16" s="122"/>
      <c r="K16" s="122"/>
      <c r="L16" s="142"/>
      <c r="M16" s="52"/>
      <c r="P16" s="115">
        <v>20</v>
      </c>
    </row>
    <row r="17" spans="3:16" s="140" customFormat="1" ht="12.75">
      <c r="C17" s="141"/>
      <c r="D17" s="106" t="s">
        <v>372</v>
      </c>
      <c r="E17" s="67" t="s">
        <v>499</v>
      </c>
      <c r="F17" s="68">
        <v>30</v>
      </c>
      <c r="G17" s="143">
        <f t="shared" si="0"/>
        <v>0</v>
      </c>
      <c r="H17" s="143">
        <f>SUM(H18:H19)</f>
        <v>0</v>
      </c>
      <c r="I17" s="143">
        <f>SUM(I18:I19)</f>
        <v>0</v>
      </c>
      <c r="J17" s="143">
        <f>SUM(J18:J19)</f>
        <v>0</v>
      </c>
      <c r="K17" s="143">
        <f>SUM(K18:K19)</f>
        <v>0</v>
      </c>
      <c r="L17" s="142"/>
      <c r="M17" s="52"/>
      <c r="P17" s="115">
        <v>30</v>
      </c>
    </row>
    <row r="18" spans="3:16" s="140" customFormat="1" ht="12.75">
      <c r="C18" s="141"/>
      <c r="D18" s="113" t="s">
        <v>480</v>
      </c>
      <c r="E18" s="144"/>
      <c r="F18" s="84" t="s">
        <v>336</v>
      </c>
      <c r="G18" s="145"/>
      <c r="H18" s="145"/>
      <c r="I18" s="145"/>
      <c r="J18" s="145"/>
      <c r="K18" s="145"/>
      <c r="L18" s="142"/>
      <c r="M18" s="52"/>
      <c r="P18" s="115"/>
    </row>
    <row r="19" spans="3:16" s="140" customFormat="1" ht="12.75">
      <c r="C19" s="141"/>
      <c r="D19" s="108"/>
      <c r="E19" s="104" t="s">
        <v>334</v>
      </c>
      <c r="F19" s="73"/>
      <c r="G19" s="73"/>
      <c r="H19" s="73"/>
      <c r="I19" s="73"/>
      <c r="J19" s="73"/>
      <c r="K19" s="74"/>
      <c r="L19" s="142"/>
      <c r="M19" s="52"/>
      <c r="P19" s="116"/>
    </row>
    <row r="20" spans="3:16" s="140" customFormat="1" ht="12.75">
      <c r="C20" s="141"/>
      <c r="D20" s="106" t="s">
        <v>373</v>
      </c>
      <c r="E20" s="67" t="s">
        <v>500</v>
      </c>
      <c r="F20" s="68" t="s">
        <v>211</v>
      </c>
      <c r="G20" s="143">
        <f t="shared" si="0"/>
        <v>0</v>
      </c>
      <c r="H20" s="143">
        <f>SUM(H21:H22)</f>
        <v>0</v>
      </c>
      <c r="I20" s="143">
        <f>SUM(I21:I22)</f>
        <v>0</v>
      </c>
      <c r="J20" s="143">
        <f>SUM(J21:J22)</f>
        <v>0</v>
      </c>
      <c r="K20" s="143">
        <f>SUM(K21:K22)</f>
        <v>0</v>
      </c>
      <c r="L20" s="142"/>
      <c r="M20" s="52"/>
      <c r="P20" s="116"/>
    </row>
    <row r="21" spans="3:16" s="140" customFormat="1" ht="12.75">
      <c r="C21" s="141"/>
      <c r="D21" s="113" t="s">
        <v>481</v>
      </c>
      <c r="E21" s="144"/>
      <c r="F21" s="84" t="s">
        <v>211</v>
      </c>
      <c r="G21" s="145"/>
      <c r="H21" s="145"/>
      <c r="I21" s="145"/>
      <c r="J21" s="145"/>
      <c r="K21" s="145"/>
      <c r="L21" s="142"/>
      <c r="M21" s="52"/>
      <c r="P21" s="115"/>
    </row>
    <row r="22" spans="3:16" s="140" customFormat="1" ht="12.75">
      <c r="C22" s="141"/>
      <c r="D22" s="108"/>
      <c r="E22" s="104" t="s">
        <v>334</v>
      </c>
      <c r="F22" s="73"/>
      <c r="G22" s="73"/>
      <c r="H22" s="73"/>
      <c r="I22" s="73"/>
      <c r="J22" s="73"/>
      <c r="K22" s="74"/>
      <c r="L22" s="142"/>
      <c r="M22" s="52"/>
      <c r="P22" s="116"/>
    </row>
    <row r="23" spans="3:16" s="140" customFormat="1" ht="12.75">
      <c r="C23" s="141"/>
      <c r="D23" s="106" t="s">
        <v>374</v>
      </c>
      <c r="E23" s="67" t="s">
        <v>501</v>
      </c>
      <c r="F23" s="68" t="s">
        <v>212</v>
      </c>
      <c r="G23" s="143">
        <f t="shared" si="0"/>
        <v>8097.1450000000004</v>
      </c>
      <c r="H23" s="143">
        <f>SUM(H24:H27)</f>
        <v>1120.2809999999999</v>
      </c>
      <c r="I23" s="143">
        <f>SUM(I24:I27)</f>
        <v>5030.0420000000004</v>
      </c>
      <c r="J23" s="143">
        <f>SUM(J24:J27)</f>
        <v>1946.8220000000001</v>
      </c>
      <c r="K23" s="143">
        <f>SUM(K24:K27)</f>
        <v>0</v>
      </c>
      <c r="L23" s="142"/>
      <c r="M23" s="52"/>
      <c r="P23" s="115">
        <v>40</v>
      </c>
    </row>
    <row r="24" spans="3:16" s="140" customFormat="1" ht="12.75">
      <c r="C24" s="141"/>
      <c r="D24" s="113" t="s">
        <v>482</v>
      </c>
      <c r="E24" s="144"/>
      <c r="F24" s="84" t="s">
        <v>212</v>
      </c>
      <c r="G24" s="145"/>
      <c r="H24" s="145"/>
      <c r="I24" s="145"/>
      <c r="J24" s="145"/>
      <c r="K24" s="145"/>
      <c r="L24" s="142"/>
      <c r="M24" s="52"/>
      <c r="P24" s="115"/>
    </row>
    <row r="25" spans="3:16" s="140" customFormat="1" ht="14.25">
      <c r="C25" s="121" t="s">
        <v>0</v>
      </c>
      <c r="D25" s="146" t="s">
        <v>1874</v>
      </c>
      <c r="E25" s="82" t="s">
        <v>2047</v>
      </c>
      <c r="F25" s="79">
        <v>431</v>
      </c>
      <c r="G25" s="147">
        <f>SUM(H25:K25)</f>
        <v>6744.6890000000003</v>
      </c>
      <c r="H25" s="148">
        <v>1120.2809999999999</v>
      </c>
      <c r="I25" s="148">
        <v>5030.0420000000004</v>
      </c>
      <c r="J25" s="148">
        <v>594.36599999999999</v>
      </c>
      <c r="K25" s="149"/>
      <c r="L25" s="142"/>
      <c r="M25" s="85" t="s">
        <v>1842</v>
      </c>
      <c r="N25" s="86" t="s">
        <v>1438</v>
      </c>
      <c r="O25" s="86" t="s">
        <v>1841</v>
      </c>
    </row>
    <row r="26" spans="3:16" s="140" customFormat="1" ht="14.25">
      <c r="C26" s="121" t="s">
        <v>0</v>
      </c>
      <c r="D26" s="146" t="s">
        <v>2072</v>
      </c>
      <c r="E26" s="82" t="s">
        <v>1467</v>
      </c>
      <c r="F26" s="79">
        <v>432</v>
      </c>
      <c r="G26" s="147">
        <f>SUM(H26:K26)</f>
        <v>1352.4560000000001</v>
      </c>
      <c r="H26" s="148"/>
      <c r="I26" s="148"/>
      <c r="J26" s="148">
        <f>456.698+895.758</f>
        <v>1352.4560000000001</v>
      </c>
      <c r="K26" s="149"/>
      <c r="L26" s="142"/>
      <c r="M26" s="85" t="s">
        <v>1468</v>
      </c>
      <c r="N26" s="86" t="s">
        <v>1438</v>
      </c>
      <c r="O26" s="86" t="s">
        <v>1466</v>
      </c>
    </row>
    <row r="27" spans="3:16" s="140" customFormat="1" ht="12.75">
      <c r="C27" s="141"/>
      <c r="D27" s="108"/>
      <c r="E27" s="104" t="s">
        <v>334</v>
      </c>
      <c r="F27" s="73"/>
      <c r="G27" s="73"/>
      <c r="H27" s="73"/>
      <c r="I27" s="73"/>
      <c r="J27" s="73"/>
      <c r="K27" s="74"/>
      <c r="L27" s="142"/>
      <c r="M27" s="52"/>
      <c r="P27" s="115"/>
    </row>
    <row r="28" spans="3:16" s="140" customFormat="1" ht="12.75">
      <c r="C28" s="141"/>
      <c r="D28" s="106" t="s">
        <v>375</v>
      </c>
      <c r="E28" s="88" t="s">
        <v>157</v>
      </c>
      <c r="F28" s="68" t="s">
        <v>213</v>
      </c>
      <c r="G28" s="143">
        <f t="shared" si="0"/>
        <v>3493.0140000000006</v>
      </c>
      <c r="H28" s="143">
        <f>H30+H31+H32</f>
        <v>0</v>
      </c>
      <c r="I28" s="143">
        <f>I29+I31+I32</f>
        <v>0</v>
      </c>
      <c r="J28" s="143">
        <f>J29+J30+J32</f>
        <v>2244.6260000000002</v>
      </c>
      <c r="K28" s="143">
        <f>K29+K30+K31</f>
        <v>1248.3880000000004</v>
      </c>
      <c r="L28" s="142"/>
      <c r="M28" s="52"/>
      <c r="P28" s="115">
        <v>50</v>
      </c>
    </row>
    <row r="29" spans="3:16" s="140" customFormat="1" ht="12.75">
      <c r="C29" s="141"/>
      <c r="D29" s="106" t="s">
        <v>376</v>
      </c>
      <c r="E29" s="67" t="s">
        <v>134</v>
      </c>
      <c r="F29" s="68" t="s">
        <v>214</v>
      </c>
      <c r="G29" s="143">
        <f t="shared" si="0"/>
        <v>1095.9449999999999</v>
      </c>
      <c r="H29" s="150"/>
      <c r="I29" s="122"/>
      <c r="J29" s="122">
        <f>H45</f>
        <v>1095.9449999999999</v>
      </c>
      <c r="K29" s="122"/>
      <c r="L29" s="142"/>
      <c r="M29" s="52"/>
      <c r="P29" s="115">
        <v>60</v>
      </c>
    </row>
    <row r="30" spans="3:16" s="140" customFormat="1" ht="12.75">
      <c r="C30" s="141"/>
      <c r="D30" s="106" t="s">
        <v>377</v>
      </c>
      <c r="E30" s="67" t="s">
        <v>135</v>
      </c>
      <c r="F30" s="68" t="s">
        <v>215</v>
      </c>
      <c r="G30" s="143">
        <f t="shared" si="0"/>
        <v>1148.681</v>
      </c>
      <c r="H30" s="122"/>
      <c r="I30" s="150"/>
      <c r="J30" s="122">
        <f>I25-I34-I48</f>
        <v>1148.681</v>
      </c>
      <c r="K30" s="122"/>
      <c r="L30" s="142"/>
      <c r="M30" s="52"/>
      <c r="P30" s="115">
        <v>70</v>
      </c>
    </row>
    <row r="31" spans="3:16" s="140" customFormat="1" ht="12.75">
      <c r="C31" s="141"/>
      <c r="D31" s="106" t="s">
        <v>378</v>
      </c>
      <c r="E31" s="67" t="s">
        <v>136</v>
      </c>
      <c r="F31" s="68" t="s">
        <v>216</v>
      </c>
      <c r="G31" s="143">
        <f t="shared" si="0"/>
        <v>1248.3880000000004</v>
      </c>
      <c r="H31" s="122"/>
      <c r="I31" s="122"/>
      <c r="J31" s="150"/>
      <c r="K31" s="122">
        <f>J23+J28+J17-J48-J34</f>
        <v>1248.3880000000004</v>
      </c>
      <c r="L31" s="142"/>
      <c r="M31" s="52"/>
      <c r="P31" s="115">
        <v>80</v>
      </c>
    </row>
    <row r="32" spans="3:16" s="140" customFormat="1" ht="12.75">
      <c r="C32" s="141"/>
      <c r="D32" s="106" t="s">
        <v>379</v>
      </c>
      <c r="E32" s="67" t="s">
        <v>158</v>
      </c>
      <c r="F32" s="68" t="s">
        <v>217</v>
      </c>
      <c r="G32" s="143">
        <f t="shared" si="0"/>
        <v>0</v>
      </c>
      <c r="H32" s="122"/>
      <c r="I32" s="122"/>
      <c r="J32" s="122"/>
      <c r="K32" s="150"/>
      <c r="L32" s="142"/>
      <c r="M32" s="52"/>
      <c r="P32" s="115">
        <v>90</v>
      </c>
    </row>
    <row r="33" spans="3:16" s="140" customFormat="1" ht="12.75">
      <c r="C33" s="141"/>
      <c r="D33" s="106" t="s">
        <v>380</v>
      </c>
      <c r="E33" s="89" t="s">
        <v>161</v>
      </c>
      <c r="F33" s="68" t="s">
        <v>218</v>
      </c>
      <c r="G33" s="143">
        <f t="shared" si="0"/>
        <v>0</v>
      </c>
      <c r="H33" s="122"/>
      <c r="I33" s="122"/>
      <c r="J33" s="122"/>
      <c r="K33" s="122"/>
      <c r="L33" s="142"/>
      <c r="M33" s="52"/>
      <c r="P33" s="115"/>
    </row>
    <row r="34" spans="3:16" s="140" customFormat="1" ht="12.75">
      <c r="C34" s="141"/>
      <c r="D34" s="106" t="s">
        <v>381</v>
      </c>
      <c r="E34" s="88" t="s">
        <v>502</v>
      </c>
      <c r="F34" s="109" t="s">
        <v>219</v>
      </c>
      <c r="G34" s="143">
        <f t="shared" si="0"/>
        <v>7767.598</v>
      </c>
      <c r="H34" s="143">
        <f>H35+H37+H40+H44</f>
        <v>0</v>
      </c>
      <c r="I34" s="143">
        <f>I35+I37+I40+I44</f>
        <v>3856.5770000000002</v>
      </c>
      <c r="J34" s="143">
        <f>J35+J37+J40+J44</f>
        <v>2758.6970000000001</v>
      </c>
      <c r="K34" s="143">
        <f>K35+K37+K40+K44</f>
        <v>1152.3240000000001</v>
      </c>
      <c r="L34" s="142"/>
      <c r="M34" s="52"/>
      <c r="P34" s="115">
        <v>100</v>
      </c>
    </row>
    <row r="35" spans="3:16" s="140" customFormat="1" ht="22.5">
      <c r="C35" s="141"/>
      <c r="D35" s="106" t="s">
        <v>382</v>
      </c>
      <c r="E35" s="67" t="s">
        <v>503</v>
      </c>
      <c r="F35" s="68" t="s">
        <v>220</v>
      </c>
      <c r="G35" s="143">
        <f t="shared" si="0"/>
        <v>0</v>
      </c>
      <c r="H35" s="122"/>
      <c r="I35" s="122"/>
      <c r="J35" s="122"/>
      <c r="K35" s="122"/>
      <c r="L35" s="142"/>
      <c r="M35" s="52"/>
      <c r="P35" s="115"/>
    </row>
    <row r="36" spans="3:16" s="140" customFormat="1" ht="12.75">
      <c r="C36" s="141"/>
      <c r="D36" s="106" t="s">
        <v>486</v>
      </c>
      <c r="E36" s="69" t="s">
        <v>476</v>
      </c>
      <c r="F36" s="68" t="s">
        <v>223</v>
      </c>
      <c r="G36" s="143">
        <f t="shared" si="0"/>
        <v>0</v>
      </c>
      <c r="H36" s="122"/>
      <c r="I36" s="122"/>
      <c r="J36" s="122"/>
      <c r="K36" s="122"/>
      <c r="L36" s="142"/>
      <c r="M36" s="52"/>
      <c r="P36" s="115"/>
    </row>
    <row r="37" spans="3:16" s="140" customFormat="1" ht="12.75">
      <c r="C37" s="141"/>
      <c r="D37" s="106" t="s">
        <v>383</v>
      </c>
      <c r="E37" s="67" t="s">
        <v>221</v>
      </c>
      <c r="F37" s="68" t="s">
        <v>224</v>
      </c>
      <c r="G37" s="143">
        <f t="shared" si="0"/>
        <v>4667.4880000000003</v>
      </c>
      <c r="H37" s="122">
        <v>0</v>
      </c>
      <c r="I37" s="122">
        <f>3856.577-I42</f>
        <v>756.4670000000001</v>
      </c>
      <c r="J37" s="122">
        <f>1923.53+835.167</f>
        <v>2758.6970000000001</v>
      </c>
      <c r="K37" s="122">
        <v>1152.3240000000001</v>
      </c>
      <c r="L37" s="142"/>
      <c r="M37" s="52"/>
      <c r="P37" s="115"/>
    </row>
    <row r="38" spans="3:16" s="140" customFormat="1" ht="12.75">
      <c r="C38" s="141"/>
      <c r="D38" s="106" t="s">
        <v>487</v>
      </c>
      <c r="E38" s="69" t="s">
        <v>504</v>
      </c>
      <c r="F38" s="68" t="s">
        <v>225</v>
      </c>
      <c r="G38" s="143">
        <f t="shared" si="0"/>
        <v>0</v>
      </c>
      <c r="H38" s="122"/>
      <c r="I38" s="122"/>
      <c r="J38" s="122"/>
      <c r="K38" s="122"/>
      <c r="L38" s="142"/>
      <c r="M38" s="52"/>
      <c r="P38" s="115"/>
    </row>
    <row r="39" spans="3:16" s="140" customFormat="1" ht="12.75">
      <c r="C39" s="141"/>
      <c r="D39" s="106" t="s">
        <v>488</v>
      </c>
      <c r="E39" s="71" t="s">
        <v>476</v>
      </c>
      <c r="F39" s="68" t="s">
        <v>226</v>
      </c>
      <c r="G39" s="143">
        <f t="shared" si="0"/>
        <v>0</v>
      </c>
      <c r="H39" s="122"/>
      <c r="I39" s="122"/>
      <c r="J39" s="122"/>
      <c r="K39" s="122"/>
      <c r="L39" s="142"/>
      <c r="M39" s="52"/>
      <c r="P39" s="115"/>
    </row>
    <row r="40" spans="3:16" s="140" customFormat="1" ht="12.75">
      <c r="C40" s="141"/>
      <c r="D40" s="106" t="s">
        <v>384</v>
      </c>
      <c r="E40" s="67" t="s">
        <v>505</v>
      </c>
      <c r="F40" s="68" t="s">
        <v>227</v>
      </c>
      <c r="G40" s="143">
        <f t="shared" si="0"/>
        <v>3100.11</v>
      </c>
      <c r="H40" s="143">
        <f>SUM(H41:H43)</f>
        <v>0</v>
      </c>
      <c r="I40" s="143">
        <f>SUM(I41:I43)</f>
        <v>3100.11</v>
      </c>
      <c r="J40" s="143">
        <f>SUM(J41:J43)</f>
        <v>0</v>
      </c>
      <c r="K40" s="143">
        <f>SUM(K41:K43)</f>
        <v>0</v>
      </c>
      <c r="L40" s="142"/>
      <c r="M40" s="52"/>
      <c r="P40" s="115"/>
    </row>
    <row r="41" spans="3:16" s="140" customFormat="1" ht="12.75">
      <c r="C41" s="141"/>
      <c r="D41" s="113" t="s">
        <v>496</v>
      </c>
      <c r="E41" s="144"/>
      <c r="F41" s="84" t="s">
        <v>227</v>
      </c>
      <c r="G41" s="145"/>
      <c r="H41" s="145"/>
      <c r="I41" s="145"/>
      <c r="J41" s="145"/>
      <c r="K41" s="145"/>
      <c r="L41" s="142"/>
      <c r="M41" s="52"/>
      <c r="P41" s="115"/>
    </row>
    <row r="42" spans="3:16" s="140" customFormat="1" ht="14.25">
      <c r="C42" s="121" t="s">
        <v>0</v>
      </c>
      <c r="D42" s="146" t="s">
        <v>1875</v>
      </c>
      <c r="E42" s="82" t="s">
        <v>1467</v>
      </c>
      <c r="F42" s="79">
        <v>751</v>
      </c>
      <c r="G42" s="147">
        <f>SUM(H42:K42)</f>
        <v>3100.11</v>
      </c>
      <c r="H42" s="148"/>
      <c r="I42" s="148">
        <v>3100.11</v>
      </c>
      <c r="J42" s="148"/>
      <c r="K42" s="149"/>
      <c r="L42" s="142"/>
      <c r="M42" s="85" t="s">
        <v>1468</v>
      </c>
      <c r="N42" s="86" t="s">
        <v>1451</v>
      </c>
      <c r="O42" s="86" t="s">
        <v>1466</v>
      </c>
    </row>
    <row r="43" spans="3:16" s="140" customFormat="1" ht="12.75">
      <c r="C43" s="141"/>
      <c r="D43" s="76"/>
      <c r="E43" s="104" t="s">
        <v>334</v>
      </c>
      <c r="F43" s="73"/>
      <c r="G43" s="73"/>
      <c r="H43" s="73"/>
      <c r="I43" s="73"/>
      <c r="J43" s="73"/>
      <c r="K43" s="74"/>
      <c r="L43" s="142"/>
      <c r="M43" s="52"/>
      <c r="P43" s="115"/>
    </row>
    <row r="44" spans="3:16" s="140" customFormat="1" ht="12.75">
      <c r="C44" s="141"/>
      <c r="D44" s="106" t="s">
        <v>385</v>
      </c>
      <c r="E44" s="105" t="s">
        <v>477</v>
      </c>
      <c r="F44" s="68" t="s">
        <v>228</v>
      </c>
      <c r="G44" s="143">
        <f t="shared" si="0"/>
        <v>0</v>
      </c>
      <c r="H44" s="122"/>
      <c r="I44" s="122"/>
      <c r="J44" s="122"/>
      <c r="K44" s="122"/>
      <c r="L44" s="142"/>
      <c r="M44" s="52"/>
      <c r="P44" s="115">
        <v>120</v>
      </c>
    </row>
    <row r="45" spans="3:16" s="140" customFormat="1" ht="12.75">
      <c r="C45" s="141"/>
      <c r="D45" s="106" t="s">
        <v>386</v>
      </c>
      <c r="E45" s="88" t="s">
        <v>159</v>
      </c>
      <c r="F45" s="68" t="s">
        <v>229</v>
      </c>
      <c r="G45" s="143">
        <f t="shared" si="0"/>
        <v>3493.0140000000006</v>
      </c>
      <c r="H45" s="122">
        <f>H25-H48-H34</f>
        <v>1095.9449999999999</v>
      </c>
      <c r="I45" s="122">
        <f>I15-I34-I48</f>
        <v>1148.681</v>
      </c>
      <c r="J45" s="122">
        <f>J23+J28+J17-J34-J48</f>
        <v>1248.3880000000001</v>
      </c>
      <c r="K45" s="122">
        <f>K31-K34-K48</f>
        <v>3.1263880373444408E-13</v>
      </c>
      <c r="L45" s="142"/>
      <c r="M45" s="52"/>
      <c r="P45" s="115">
        <v>150</v>
      </c>
    </row>
    <row r="46" spans="3:16" s="140" customFormat="1" ht="12.75">
      <c r="C46" s="141"/>
      <c r="D46" s="106" t="s">
        <v>387</v>
      </c>
      <c r="E46" s="88" t="s">
        <v>160</v>
      </c>
      <c r="F46" s="68" t="s">
        <v>230</v>
      </c>
      <c r="G46" s="143">
        <f t="shared" si="0"/>
        <v>0</v>
      </c>
      <c r="H46" s="122"/>
      <c r="I46" s="122"/>
      <c r="J46" s="122"/>
      <c r="K46" s="122"/>
      <c r="L46" s="142"/>
      <c r="M46" s="52"/>
      <c r="P46" s="115">
        <v>160</v>
      </c>
    </row>
    <row r="47" spans="3:16" s="140" customFormat="1" ht="12.75">
      <c r="C47" s="141"/>
      <c r="D47" s="106" t="s">
        <v>388</v>
      </c>
      <c r="E47" s="88" t="s">
        <v>162</v>
      </c>
      <c r="F47" s="68" t="s">
        <v>231</v>
      </c>
      <c r="G47" s="143">
        <f t="shared" si="0"/>
        <v>0</v>
      </c>
      <c r="H47" s="122"/>
      <c r="I47" s="122"/>
      <c r="J47" s="122"/>
      <c r="K47" s="122"/>
      <c r="L47" s="142"/>
      <c r="M47" s="52"/>
      <c r="P47" s="115">
        <v>180</v>
      </c>
    </row>
    <row r="48" spans="3:16" s="140" customFormat="1" ht="12.75">
      <c r="C48" s="141"/>
      <c r="D48" s="106" t="s">
        <v>389</v>
      </c>
      <c r="E48" s="88" t="s">
        <v>473</v>
      </c>
      <c r="F48" s="68" t="s">
        <v>232</v>
      </c>
      <c r="G48" s="143">
        <f t="shared" si="0"/>
        <v>329.54700000000003</v>
      </c>
      <c r="H48" s="122">
        <v>24.335999999999999</v>
      </c>
      <c r="I48" s="122">
        <v>24.783999999999999</v>
      </c>
      <c r="J48" s="122">
        <f>123.772+60.591</f>
        <v>184.363</v>
      </c>
      <c r="K48" s="122">
        <v>96.063999999999993</v>
      </c>
      <c r="L48" s="142"/>
      <c r="M48" s="52"/>
      <c r="P48" s="115">
        <v>190</v>
      </c>
    </row>
    <row r="49" spans="3:16" s="140" customFormat="1" ht="12.75">
      <c r="C49" s="141"/>
      <c r="D49" s="106" t="s">
        <v>390</v>
      </c>
      <c r="E49" s="67" t="s">
        <v>474</v>
      </c>
      <c r="F49" s="68" t="s">
        <v>234</v>
      </c>
      <c r="G49" s="143">
        <f t="shared" si="0"/>
        <v>0</v>
      </c>
      <c r="H49" s="122"/>
      <c r="I49" s="122"/>
      <c r="J49" s="122"/>
      <c r="K49" s="122"/>
      <c r="L49" s="142"/>
      <c r="M49" s="52"/>
      <c r="P49" s="115">
        <v>200</v>
      </c>
    </row>
    <row r="50" spans="3:16" s="140" customFormat="1" ht="22.5">
      <c r="C50" s="141"/>
      <c r="D50" s="106" t="s">
        <v>475</v>
      </c>
      <c r="E50" s="88" t="s">
        <v>417</v>
      </c>
      <c r="F50" s="68" t="s">
        <v>235</v>
      </c>
      <c r="G50" s="143">
        <f t="shared" si="0"/>
        <v>214.65600000000001</v>
      </c>
      <c r="H50" s="122"/>
      <c r="I50" s="122">
        <f>214.656*0.25776</f>
        <v>55.329730560000002</v>
      </c>
      <c r="J50" s="122">
        <f>214.656*0.37244</f>
        <v>79.946480640000004</v>
      </c>
      <c r="K50" s="122">
        <f>214.656*0.3698</f>
        <v>79.3797888</v>
      </c>
      <c r="L50" s="142"/>
      <c r="M50" s="52"/>
      <c r="P50" s="116"/>
    </row>
    <row r="51" spans="3:16" s="140" customFormat="1" ht="33.75">
      <c r="C51" s="141"/>
      <c r="D51" s="106" t="s">
        <v>391</v>
      </c>
      <c r="E51" s="89" t="s">
        <v>236</v>
      </c>
      <c r="F51" s="68" t="s">
        <v>237</v>
      </c>
      <c r="G51" s="143">
        <f t="shared" si="0"/>
        <v>114.89099999999999</v>
      </c>
      <c r="H51" s="143">
        <f>H48-H50</f>
        <v>24.335999999999999</v>
      </c>
      <c r="I51" s="143">
        <f>I48-I50</f>
        <v>-30.545730560000003</v>
      </c>
      <c r="J51" s="143">
        <f>J48-J50</f>
        <v>104.41651936</v>
      </c>
      <c r="K51" s="143">
        <f>K48-K50</f>
        <v>16.684211199999993</v>
      </c>
      <c r="L51" s="142"/>
      <c r="M51" s="52"/>
      <c r="P51" s="116"/>
    </row>
    <row r="52" spans="3:16" s="140" customFormat="1" ht="12.75">
      <c r="C52" s="141"/>
      <c r="D52" s="106" t="s">
        <v>392</v>
      </c>
      <c r="E52" s="88" t="s">
        <v>163</v>
      </c>
      <c r="F52" s="68" t="s">
        <v>238</v>
      </c>
      <c r="G52" s="143">
        <f t="shared" si="0"/>
        <v>0</v>
      </c>
      <c r="H52" s="143">
        <f>(H15+H28+H33)-(H34+H45+H46+H47+H48)</f>
        <v>0</v>
      </c>
      <c r="I52" s="143">
        <f>(I15+I28+I33)-(I34+I45+I46+I47+I48)</f>
        <v>0</v>
      </c>
      <c r="J52" s="143">
        <f>(J15+J28+J33)-(J34+J45+J46+J47+J48)</f>
        <v>0</v>
      </c>
      <c r="K52" s="143">
        <f>(K15+K28+K33)-(K34+K45+K46+K47+K48)</f>
        <v>0</v>
      </c>
      <c r="L52" s="142"/>
      <c r="M52" s="52"/>
      <c r="P52" s="115">
        <v>210</v>
      </c>
    </row>
    <row r="53" spans="3:16" s="140" customFormat="1" ht="12.75">
      <c r="C53" s="141"/>
      <c r="D53" s="174" t="s">
        <v>201</v>
      </c>
      <c r="E53" s="175"/>
      <c r="F53" s="175"/>
      <c r="G53" s="175"/>
      <c r="H53" s="175"/>
      <c r="I53" s="175"/>
      <c r="J53" s="175"/>
      <c r="K53" s="176"/>
      <c r="L53" s="142"/>
      <c r="M53" s="52"/>
      <c r="P53" s="116"/>
    </row>
    <row r="54" spans="3:16" s="140" customFormat="1" ht="12.75">
      <c r="C54" s="141"/>
      <c r="D54" s="106" t="s">
        <v>393</v>
      </c>
      <c r="E54" s="88" t="s">
        <v>498</v>
      </c>
      <c r="F54" s="68" t="s">
        <v>239</v>
      </c>
      <c r="G54" s="143">
        <f t="shared" si="0"/>
        <v>10.88325940860215</v>
      </c>
      <c r="H54" s="143">
        <f>H55+H56+H59+H62</f>
        <v>1.5057540322580645</v>
      </c>
      <c r="I54" s="143">
        <f>I55+I56+I59+I62</f>
        <v>6.7608091397849464</v>
      </c>
      <c r="J54" s="143">
        <f>J55+J56+J59+J62</f>
        <v>2.61669623655914</v>
      </c>
      <c r="K54" s="143">
        <f>K55+K56+K59+K62</f>
        <v>0</v>
      </c>
      <c r="L54" s="142"/>
      <c r="M54" s="52"/>
      <c r="P54" s="115">
        <v>300</v>
      </c>
    </row>
    <row r="55" spans="3:16" s="140" customFormat="1" ht="12.75">
      <c r="C55" s="141"/>
      <c r="D55" s="106" t="s">
        <v>394</v>
      </c>
      <c r="E55" s="67" t="s">
        <v>210</v>
      </c>
      <c r="F55" s="68" t="s">
        <v>240</v>
      </c>
      <c r="G55" s="143">
        <f t="shared" si="0"/>
        <v>0</v>
      </c>
      <c r="H55" s="122"/>
      <c r="I55" s="122"/>
      <c r="J55" s="122"/>
      <c r="K55" s="122"/>
      <c r="L55" s="142"/>
      <c r="M55" s="52"/>
      <c r="P55" s="115">
        <v>310</v>
      </c>
    </row>
    <row r="56" spans="3:16" s="140" customFormat="1" ht="12.75">
      <c r="C56" s="141"/>
      <c r="D56" s="106" t="s">
        <v>395</v>
      </c>
      <c r="E56" s="67" t="s">
        <v>499</v>
      </c>
      <c r="F56" s="68" t="s">
        <v>241</v>
      </c>
      <c r="G56" s="143">
        <f t="shared" si="0"/>
        <v>0</v>
      </c>
      <c r="H56" s="143">
        <f>SUM(H57:H58)</f>
        <v>0</v>
      </c>
      <c r="I56" s="143">
        <f>SUM(I57:I58)</f>
        <v>0</v>
      </c>
      <c r="J56" s="143">
        <f>SUM(J57:J58)</f>
        <v>0</v>
      </c>
      <c r="K56" s="143">
        <f>SUM(K57:K58)</f>
        <v>0</v>
      </c>
      <c r="L56" s="142"/>
      <c r="M56" s="52"/>
      <c r="P56" s="115">
        <v>320</v>
      </c>
    </row>
    <row r="57" spans="3:16" s="140" customFormat="1" ht="12.75">
      <c r="C57" s="141"/>
      <c r="D57" s="113" t="s">
        <v>483</v>
      </c>
      <c r="E57" s="144"/>
      <c r="F57" s="84" t="s">
        <v>241</v>
      </c>
      <c r="G57" s="145"/>
      <c r="H57" s="145"/>
      <c r="I57" s="145"/>
      <c r="J57" s="145"/>
      <c r="K57" s="145"/>
      <c r="L57" s="142"/>
      <c r="M57" s="52"/>
      <c r="P57" s="115"/>
    </row>
    <row r="58" spans="3:16" s="140" customFormat="1" ht="12.75">
      <c r="C58" s="141"/>
      <c r="D58" s="108"/>
      <c r="E58" s="104" t="s">
        <v>334</v>
      </c>
      <c r="F58" s="73"/>
      <c r="G58" s="73"/>
      <c r="H58" s="73"/>
      <c r="I58" s="73"/>
      <c r="J58" s="73"/>
      <c r="K58" s="74"/>
      <c r="L58" s="142"/>
      <c r="M58" s="52"/>
      <c r="P58" s="115"/>
    </row>
    <row r="59" spans="3:16" s="140" customFormat="1" ht="12.75">
      <c r="C59" s="141"/>
      <c r="D59" s="106" t="s">
        <v>396</v>
      </c>
      <c r="E59" s="67" t="s">
        <v>500</v>
      </c>
      <c r="F59" s="68" t="s">
        <v>242</v>
      </c>
      <c r="G59" s="143">
        <f t="shared" si="0"/>
        <v>0</v>
      </c>
      <c r="H59" s="143">
        <f>SUM(H60:H61)</f>
        <v>0</v>
      </c>
      <c r="I59" s="143">
        <f>SUM(I60:I61)</f>
        <v>0</v>
      </c>
      <c r="J59" s="143">
        <f>SUM(J60:J61)</f>
        <v>0</v>
      </c>
      <c r="K59" s="143">
        <f>SUM(K60:K61)</f>
        <v>0</v>
      </c>
      <c r="L59" s="142"/>
      <c r="M59" s="52"/>
      <c r="P59" s="115"/>
    </row>
    <row r="60" spans="3:16" s="140" customFormat="1" ht="12.75">
      <c r="C60" s="141"/>
      <c r="D60" s="113" t="s">
        <v>484</v>
      </c>
      <c r="E60" s="144"/>
      <c r="F60" s="84" t="s">
        <v>242</v>
      </c>
      <c r="G60" s="145"/>
      <c r="H60" s="145"/>
      <c r="I60" s="145"/>
      <c r="J60" s="145"/>
      <c r="K60" s="145"/>
      <c r="L60" s="142"/>
      <c r="M60" s="52"/>
      <c r="P60" s="115"/>
    </row>
    <row r="61" spans="3:16" s="140" customFormat="1" ht="12.75">
      <c r="C61" s="141"/>
      <c r="D61" s="108"/>
      <c r="E61" s="104" t="s">
        <v>334</v>
      </c>
      <c r="F61" s="73"/>
      <c r="G61" s="73"/>
      <c r="H61" s="73"/>
      <c r="I61" s="73"/>
      <c r="J61" s="73"/>
      <c r="K61" s="74"/>
      <c r="L61" s="142"/>
      <c r="M61" s="52"/>
      <c r="P61" s="115"/>
    </row>
    <row r="62" spans="3:16" s="140" customFormat="1" ht="12.75">
      <c r="C62" s="141"/>
      <c r="D62" s="106" t="s">
        <v>397</v>
      </c>
      <c r="E62" s="67" t="s">
        <v>501</v>
      </c>
      <c r="F62" s="68" t="s">
        <v>243</v>
      </c>
      <c r="G62" s="143">
        <f t="shared" si="0"/>
        <v>10.88325940860215</v>
      </c>
      <c r="H62" s="143">
        <f>SUM(H63:H66)</f>
        <v>1.5057540322580645</v>
      </c>
      <c r="I62" s="143">
        <f>SUM(I63:I66)</f>
        <v>6.7608091397849464</v>
      </c>
      <c r="J62" s="143">
        <f>SUM(J63:J66)</f>
        <v>2.61669623655914</v>
      </c>
      <c r="K62" s="143">
        <f>SUM(K63:K66)</f>
        <v>0</v>
      </c>
      <c r="L62" s="142"/>
      <c r="M62" s="52"/>
      <c r="P62" s="115">
        <v>330</v>
      </c>
    </row>
    <row r="63" spans="3:16" s="140" customFormat="1" ht="12.75">
      <c r="C63" s="141"/>
      <c r="D63" s="113" t="s">
        <v>485</v>
      </c>
      <c r="E63" s="144"/>
      <c r="F63" s="84" t="s">
        <v>243</v>
      </c>
      <c r="G63" s="145"/>
      <c r="H63" s="145"/>
      <c r="I63" s="145"/>
      <c r="J63" s="145"/>
      <c r="K63" s="145"/>
      <c r="L63" s="142"/>
      <c r="M63" s="52"/>
      <c r="P63" s="115"/>
    </row>
    <row r="64" spans="3:16" s="140" customFormat="1" ht="14.25">
      <c r="C64" s="121" t="s">
        <v>0</v>
      </c>
      <c r="D64" s="146" t="s">
        <v>1876</v>
      </c>
      <c r="E64" s="82" t="s">
        <v>2047</v>
      </c>
      <c r="F64" s="79">
        <v>1461</v>
      </c>
      <c r="G64" s="147">
        <f>SUM(H64:K64)</f>
        <v>9.0654422043010747</v>
      </c>
      <c r="H64" s="148">
        <f>H25/744</f>
        <v>1.5057540322580645</v>
      </c>
      <c r="I64" s="148">
        <f>I25/744</f>
        <v>6.7608091397849464</v>
      </c>
      <c r="J64" s="148">
        <f>J25/744</f>
        <v>0.79887903225806445</v>
      </c>
      <c r="K64" s="148"/>
      <c r="L64" s="142"/>
      <c r="M64" s="85" t="s">
        <v>1842</v>
      </c>
      <c r="N64" s="86" t="s">
        <v>1438</v>
      </c>
      <c r="O64" s="86" t="s">
        <v>1841</v>
      </c>
    </row>
    <row r="65" spans="3:16" s="140" customFormat="1" ht="14.25">
      <c r="C65" s="121" t="s">
        <v>0</v>
      </c>
      <c r="D65" s="146" t="s">
        <v>2073</v>
      </c>
      <c r="E65" s="82" t="s">
        <v>1467</v>
      </c>
      <c r="F65" s="79">
        <v>1462</v>
      </c>
      <c r="G65" s="147">
        <f>SUM(H65:K65)</f>
        <v>1.8178172043010754</v>
      </c>
      <c r="H65" s="148"/>
      <c r="I65" s="148"/>
      <c r="J65" s="148">
        <f>J26/744</f>
        <v>1.8178172043010754</v>
      </c>
      <c r="K65" s="149"/>
      <c r="L65" s="142"/>
      <c r="M65" s="85" t="s">
        <v>1468</v>
      </c>
      <c r="N65" s="86" t="s">
        <v>1438</v>
      </c>
      <c r="O65" s="86" t="s">
        <v>1466</v>
      </c>
    </row>
    <row r="66" spans="3:16" s="140" customFormat="1" ht="12.75">
      <c r="C66" s="141"/>
      <c r="D66" s="108"/>
      <c r="E66" s="104" t="s">
        <v>334</v>
      </c>
      <c r="F66" s="73"/>
      <c r="G66" s="73"/>
      <c r="H66" s="73"/>
      <c r="I66" s="73"/>
      <c r="J66" s="73"/>
      <c r="K66" s="74"/>
      <c r="L66" s="142"/>
      <c r="M66" s="52"/>
      <c r="P66" s="115"/>
    </row>
    <row r="67" spans="3:16" s="140" customFormat="1" ht="12.75">
      <c r="C67" s="141"/>
      <c r="D67" s="106" t="s">
        <v>398</v>
      </c>
      <c r="E67" s="88" t="s">
        <v>157</v>
      </c>
      <c r="F67" s="68" t="s">
        <v>244</v>
      </c>
      <c r="G67" s="143">
        <f t="shared" si="0"/>
        <v>4.6949112903225814</v>
      </c>
      <c r="H67" s="143">
        <f>H69+H70+H71</f>
        <v>0</v>
      </c>
      <c r="I67" s="143">
        <f>I68+I70+I71</f>
        <v>0</v>
      </c>
      <c r="J67" s="143">
        <f>J68+J69+J71</f>
        <v>3.0169704301075271</v>
      </c>
      <c r="K67" s="143">
        <f>K68+K69+K70</f>
        <v>1.6779408602150543</v>
      </c>
      <c r="L67" s="142"/>
      <c r="M67" s="52"/>
      <c r="P67" s="115">
        <v>340</v>
      </c>
    </row>
    <row r="68" spans="3:16" s="140" customFormat="1" ht="12.75">
      <c r="C68" s="141"/>
      <c r="D68" s="106" t="s">
        <v>399</v>
      </c>
      <c r="E68" s="67" t="s">
        <v>134</v>
      </c>
      <c r="F68" s="68" t="s">
        <v>245</v>
      </c>
      <c r="G68" s="143">
        <f t="shared" si="0"/>
        <v>1.4730443548387095</v>
      </c>
      <c r="H68" s="150"/>
      <c r="I68" s="122"/>
      <c r="J68" s="122">
        <f>J29/744</f>
        <v>1.4730443548387095</v>
      </c>
      <c r="K68" s="122"/>
      <c r="L68" s="142"/>
      <c r="M68" s="52"/>
      <c r="P68" s="115">
        <v>350</v>
      </c>
    </row>
    <row r="69" spans="3:16" s="140" customFormat="1" ht="12.75">
      <c r="C69" s="141"/>
      <c r="D69" s="106" t="s">
        <v>400</v>
      </c>
      <c r="E69" s="67" t="s">
        <v>135</v>
      </c>
      <c r="F69" s="68" t="s">
        <v>246</v>
      </c>
      <c r="G69" s="143">
        <f t="shared" si="0"/>
        <v>1.5439260752688173</v>
      </c>
      <c r="H69" s="122"/>
      <c r="I69" s="151"/>
      <c r="J69" s="122">
        <f>J30/744</f>
        <v>1.5439260752688173</v>
      </c>
      <c r="K69" s="122"/>
      <c r="L69" s="142"/>
      <c r="M69" s="52"/>
      <c r="P69" s="115">
        <v>360</v>
      </c>
    </row>
    <row r="70" spans="3:16" s="140" customFormat="1" ht="12.75">
      <c r="C70" s="141"/>
      <c r="D70" s="106" t="s">
        <v>401</v>
      </c>
      <c r="E70" s="67" t="s">
        <v>136</v>
      </c>
      <c r="F70" s="68" t="s">
        <v>247</v>
      </c>
      <c r="G70" s="143">
        <f t="shared" si="0"/>
        <v>1.6779408602150543</v>
      </c>
      <c r="H70" s="122"/>
      <c r="I70" s="122"/>
      <c r="J70" s="150"/>
      <c r="K70" s="122">
        <f>K31/744</f>
        <v>1.6779408602150543</v>
      </c>
      <c r="L70" s="142"/>
      <c r="M70" s="52"/>
      <c r="P70" s="115">
        <v>370</v>
      </c>
    </row>
    <row r="71" spans="3:16" s="140" customFormat="1" ht="12.75">
      <c r="C71" s="141"/>
      <c r="D71" s="106" t="s">
        <v>402</v>
      </c>
      <c r="E71" s="67" t="s">
        <v>158</v>
      </c>
      <c r="F71" s="68" t="s">
        <v>248</v>
      </c>
      <c r="G71" s="143">
        <f t="shared" si="0"/>
        <v>0</v>
      </c>
      <c r="H71" s="122"/>
      <c r="I71" s="122"/>
      <c r="J71" s="122"/>
      <c r="K71" s="150"/>
      <c r="L71" s="142"/>
      <c r="M71" s="52"/>
      <c r="P71" s="115">
        <v>380</v>
      </c>
    </row>
    <row r="72" spans="3:16" s="140" customFormat="1" ht="12.75">
      <c r="C72" s="141"/>
      <c r="D72" s="106" t="s">
        <v>403</v>
      </c>
      <c r="E72" s="89" t="s">
        <v>161</v>
      </c>
      <c r="F72" s="68" t="s">
        <v>249</v>
      </c>
      <c r="G72" s="143">
        <f t="shared" si="0"/>
        <v>0</v>
      </c>
      <c r="H72" s="122"/>
      <c r="I72" s="122"/>
      <c r="J72" s="122"/>
      <c r="K72" s="122"/>
      <c r="L72" s="142"/>
      <c r="M72" s="52"/>
      <c r="P72" s="115"/>
    </row>
    <row r="73" spans="3:16" s="140" customFormat="1" ht="12.75">
      <c r="C73" s="141"/>
      <c r="D73" s="106" t="s">
        <v>404</v>
      </c>
      <c r="E73" s="88" t="s">
        <v>502</v>
      </c>
      <c r="F73" s="109" t="s">
        <v>250</v>
      </c>
      <c r="G73" s="143">
        <f t="shared" si="0"/>
        <v>10.44031989247312</v>
      </c>
      <c r="H73" s="143">
        <f>H74+H76+H79+H83</f>
        <v>0</v>
      </c>
      <c r="I73" s="143">
        <f>I74+I76+I79+I83</f>
        <v>5.18357123655914</v>
      </c>
      <c r="J73" s="143">
        <f>J74+J76+J79+J83</f>
        <v>3.7079260752688175</v>
      </c>
      <c r="K73" s="143">
        <f>K74+K76+K79+K83</f>
        <v>1.5488225806451614</v>
      </c>
      <c r="L73" s="142"/>
      <c r="M73" s="52"/>
      <c r="P73" s="115">
        <v>390</v>
      </c>
    </row>
    <row r="74" spans="3:16" s="140" customFormat="1" ht="22.5">
      <c r="C74" s="141"/>
      <c r="D74" s="106" t="s">
        <v>405</v>
      </c>
      <c r="E74" s="67" t="s">
        <v>503</v>
      </c>
      <c r="F74" s="68" t="s">
        <v>251</v>
      </c>
      <c r="G74" s="143">
        <f t="shared" si="0"/>
        <v>0</v>
      </c>
      <c r="H74" s="122"/>
      <c r="I74" s="122"/>
      <c r="J74" s="122"/>
      <c r="K74" s="122"/>
      <c r="L74" s="142"/>
      <c r="M74" s="52"/>
      <c r="P74" s="115"/>
    </row>
    <row r="75" spans="3:16" s="140" customFormat="1" ht="12.75">
      <c r="C75" s="141"/>
      <c r="D75" s="106" t="s">
        <v>489</v>
      </c>
      <c r="E75" s="69" t="s">
        <v>476</v>
      </c>
      <c r="F75" s="68" t="s">
        <v>252</v>
      </c>
      <c r="G75" s="143">
        <f t="shared" si="0"/>
        <v>0</v>
      </c>
      <c r="H75" s="122"/>
      <c r="I75" s="122"/>
      <c r="J75" s="122"/>
      <c r="K75" s="122"/>
      <c r="L75" s="142"/>
      <c r="M75" s="52"/>
      <c r="P75" s="115"/>
    </row>
    <row r="76" spans="3:16" s="140" customFormat="1" ht="12.75">
      <c r="C76" s="141"/>
      <c r="D76" s="106" t="s">
        <v>406</v>
      </c>
      <c r="E76" s="67" t="s">
        <v>221</v>
      </c>
      <c r="F76" s="68" t="s">
        <v>253</v>
      </c>
      <c r="G76" s="143">
        <f t="shared" si="0"/>
        <v>6.2735053763440867</v>
      </c>
      <c r="H76" s="122">
        <f>H37/744</f>
        <v>0</v>
      </c>
      <c r="I76" s="122">
        <f>I37/744</f>
        <v>1.0167567204301076</v>
      </c>
      <c r="J76" s="122">
        <f>J37/744</f>
        <v>3.7079260752688175</v>
      </c>
      <c r="K76" s="122">
        <f>K37/744</f>
        <v>1.5488225806451614</v>
      </c>
      <c r="L76" s="142"/>
      <c r="M76" s="52"/>
      <c r="P76" s="115"/>
    </row>
    <row r="77" spans="3:16" s="140" customFormat="1" ht="12.75">
      <c r="C77" s="141"/>
      <c r="D77" s="106" t="s">
        <v>490</v>
      </c>
      <c r="E77" s="69" t="s">
        <v>504</v>
      </c>
      <c r="F77" s="68" t="s">
        <v>254</v>
      </c>
      <c r="G77" s="143">
        <f t="shared" si="0"/>
        <v>0</v>
      </c>
      <c r="H77" s="122"/>
      <c r="I77" s="122"/>
      <c r="J77" s="122"/>
      <c r="K77" s="122"/>
      <c r="L77" s="142"/>
      <c r="M77" s="52"/>
      <c r="P77" s="115"/>
    </row>
    <row r="78" spans="3:16" s="140" customFormat="1" ht="12.75">
      <c r="C78" s="141"/>
      <c r="D78" s="106" t="s">
        <v>491</v>
      </c>
      <c r="E78" s="71" t="s">
        <v>476</v>
      </c>
      <c r="F78" s="68" t="s">
        <v>255</v>
      </c>
      <c r="G78" s="143">
        <f t="shared" si="0"/>
        <v>0</v>
      </c>
      <c r="H78" s="122"/>
      <c r="I78" s="122"/>
      <c r="J78" s="122"/>
      <c r="K78" s="122"/>
      <c r="L78" s="142"/>
      <c r="M78" s="52"/>
      <c r="P78" s="115"/>
    </row>
    <row r="79" spans="3:16" s="140" customFormat="1" ht="12.75">
      <c r="C79" s="141"/>
      <c r="D79" s="106" t="s">
        <v>407</v>
      </c>
      <c r="E79" s="67" t="s">
        <v>505</v>
      </c>
      <c r="F79" s="68" t="s">
        <v>256</v>
      </c>
      <c r="G79" s="143">
        <f t="shared" si="0"/>
        <v>4.1668145161290324</v>
      </c>
      <c r="H79" s="143">
        <f>SUM(H80:H82)</f>
        <v>0</v>
      </c>
      <c r="I79" s="143">
        <f>SUM(I80:I82)</f>
        <v>4.1668145161290324</v>
      </c>
      <c r="J79" s="143">
        <f>SUM(J80:J82)</f>
        <v>0</v>
      </c>
      <c r="K79" s="143">
        <f>SUM(K80:K82)</f>
        <v>0</v>
      </c>
      <c r="L79" s="142"/>
      <c r="M79" s="52"/>
      <c r="P79" s="115"/>
    </row>
    <row r="80" spans="3:16" s="140" customFormat="1" ht="12.75">
      <c r="C80" s="141"/>
      <c r="D80" s="113" t="s">
        <v>497</v>
      </c>
      <c r="E80" s="144"/>
      <c r="F80" s="84" t="s">
        <v>256</v>
      </c>
      <c r="G80" s="145"/>
      <c r="H80" s="145"/>
      <c r="I80" s="145"/>
      <c r="J80" s="145"/>
      <c r="K80" s="145"/>
      <c r="L80" s="142"/>
      <c r="M80" s="52"/>
      <c r="P80" s="115"/>
    </row>
    <row r="81" spans="3:16" s="140" customFormat="1" ht="14.25">
      <c r="C81" s="121" t="s">
        <v>0</v>
      </c>
      <c r="D81" s="146" t="s">
        <v>1877</v>
      </c>
      <c r="E81" s="82" t="s">
        <v>1467</v>
      </c>
      <c r="F81" s="79">
        <v>1781</v>
      </c>
      <c r="G81" s="147">
        <f>SUM(H81:K81)</f>
        <v>4.1668145161290324</v>
      </c>
      <c r="H81" s="148"/>
      <c r="I81" s="148">
        <f>I42/744</f>
        <v>4.1668145161290324</v>
      </c>
      <c r="J81" s="148"/>
      <c r="K81" s="149"/>
      <c r="L81" s="142"/>
      <c r="M81" s="85" t="s">
        <v>1468</v>
      </c>
      <c r="N81" s="86" t="s">
        <v>1451</v>
      </c>
      <c r="O81" s="86" t="s">
        <v>1466</v>
      </c>
    </row>
    <row r="82" spans="3:16" s="140" customFormat="1" ht="12.75">
      <c r="C82" s="141"/>
      <c r="D82" s="108"/>
      <c r="E82" s="104" t="s">
        <v>334</v>
      </c>
      <c r="F82" s="73"/>
      <c r="G82" s="73"/>
      <c r="H82" s="73"/>
      <c r="I82" s="73"/>
      <c r="J82" s="73"/>
      <c r="K82" s="74"/>
      <c r="L82" s="142"/>
      <c r="M82" s="52"/>
      <c r="P82" s="115"/>
    </row>
    <row r="83" spans="3:16" s="140" customFormat="1" ht="12.75">
      <c r="C83" s="141"/>
      <c r="D83" s="106" t="s">
        <v>408</v>
      </c>
      <c r="E83" s="105" t="s">
        <v>477</v>
      </c>
      <c r="F83" s="68" t="s">
        <v>257</v>
      </c>
      <c r="G83" s="143">
        <f t="shared" si="0"/>
        <v>0</v>
      </c>
      <c r="H83" s="122"/>
      <c r="I83" s="122"/>
      <c r="J83" s="122"/>
      <c r="K83" s="122"/>
      <c r="L83" s="142"/>
      <c r="M83" s="52"/>
      <c r="P83" s="115">
        <v>410</v>
      </c>
    </row>
    <row r="84" spans="3:16" s="140" customFormat="1" ht="12.75">
      <c r="C84" s="141"/>
      <c r="D84" s="106" t="s">
        <v>409</v>
      </c>
      <c r="E84" s="88" t="s">
        <v>159</v>
      </c>
      <c r="F84" s="68" t="s">
        <v>258</v>
      </c>
      <c r="G84" s="143">
        <f t="shared" si="0"/>
        <v>4.6949112903225814</v>
      </c>
      <c r="H84" s="122">
        <f>H45/744</f>
        <v>1.4730443548387095</v>
      </c>
      <c r="I84" s="122">
        <f>I45/744</f>
        <v>1.5439260752688173</v>
      </c>
      <c r="J84" s="122">
        <f>J45/744</f>
        <v>1.6779408602150541</v>
      </c>
      <c r="K84" s="122">
        <f>K45/744</f>
        <v>4.2021344587962916E-16</v>
      </c>
      <c r="L84" s="142"/>
      <c r="M84" s="52"/>
      <c r="P84" s="115">
        <v>440</v>
      </c>
    </row>
    <row r="85" spans="3:16" s="140" customFormat="1" ht="12.75">
      <c r="C85" s="141"/>
      <c r="D85" s="106" t="s">
        <v>410</v>
      </c>
      <c r="E85" s="88" t="s">
        <v>160</v>
      </c>
      <c r="F85" s="68" t="s">
        <v>259</v>
      </c>
      <c r="G85" s="143">
        <f t="shared" si="0"/>
        <v>0</v>
      </c>
      <c r="H85" s="122"/>
      <c r="I85" s="122"/>
      <c r="J85" s="122"/>
      <c r="K85" s="122"/>
      <c r="L85" s="142"/>
      <c r="M85" s="52"/>
      <c r="P85" s="115">
        <v>450</v>
      </c>
    </row>
    <row r="86" spans="3:16" s="140" customFormat="1" ht="12.75">
      <c r="C86" s="141"/>
      <c r="D86" s="106" t="s">
        <v>411</v>
      </c>
      <c r="E86" s="88" t="s">
        <v>162</v>
      </c>
      <c r="F86" s="68" t="s">
        <v>260</v>
      </c>
      <c r="G86" s="143">
        <f t="shared" si="0"/>
        <v>0</v>
      </c>
      <c r="H86" s="122"/>
      <c r="I86" s="122"/>
      <c r="J86" s="122"/>
      <c r="K86" s="122"/>
      <c r="L86" s="142"/>
      <c r="M86" s="52"/>
      <c r="P86" s="115">
        <v>470</v>
      </c>
    </row>
    <row r="87" spans="3:16" s="140" customFormat="1" ht="12.75">
      <c r="C87" s="141"/>
      <c r="D87" s="106" t="s">
        <v>412</v>
      </c>
      <c r="E87" s="88" t="s">
        <v>473</v>
      </c>
      <c r="F87" s="68" t="s">
        <v>261</v>
      </c>
      <c r="G87" s="143">
        <f t="shared" si="0"/>
        <v>0.44293951612903221</v>
      </c>
      <c r="H87" s="122">
        <f>H48/744</f>
        <v>3.2709677419354835E-2</v>
      </c>
      <c r="I87" s="122">
        <f>I48/744</f>
        <v>3.3311827956989247E-2</v>
      </c>
      <c r="J87" s="122">
        <f>J48/744</f>
        <v>0.24779973118279569</v>
      </c>
      <c r="K87" s="122">
        <f>K48/744</f>
        <v>0.12911827956989247</v>
      </c>
      <c r="L87" s="142"/>
      <c r="M87" s="52"/>
      <c r="P87" s="115">
        <v>480</v>
      </c>
    </row>
    <row r="88" spans="3:16" s="140" customFormat="1" ht="12.75">
      <c r="C88" s="141"/>
      <c r="D88" s="106" t="s">
        <v>413</v>
      </c>
      <c r="E88" s="67" t="s">
        <v>233</v>
      </c>
      <c r="F88" s="68" t="s">
        <v>262</v>
      </c>
      <c r="G88" s="143">
        <f t="shared" si="0"/>
        <v>0</v>
      </c>
      <c r="H88" s="122"/>
      <c r="I88" s="122"/>
      <c r="J88" s="122"/>
      <c r="K88" s="122"/>
      <c r="L88" s="142"/>
      <c r="M88" s="52"/>
      <c r="P88" s="115">
        <v>490</v>
      </c>
    </row>
    <row r="89" spans="3:16" s="140" customFormat="1" ht="22.5">
      <c r="C89" s="141"/>
      <c r="D89" s="106" t="s">
        <v>414</v>
      </c>
      <c r="E89" s="88" t="s">
        <v>417</v>
      </c>
      <c r="F89" s="68" t="s">
        <v>263</v>
      </c>
      <c r="G89" s="143">
        <f t="shared" si="0"/>
        <v>0.2885161290322581</v>
      </c>
      <c r="H89" s="122"/>
      <c r="I89" s="122">
        <f>I50/744</f>
        <v>7.4367917419354834E-2</v>
      </c>
      <c r="J89" s="122">
        <f>J50/744</f>
        <v>0.10745494709677419</v>
      </c>
      <c r="K89" s="122">
        <f>K50/744</f>
        <v>0.10669326451612904</v>
      </c>
      <c r="L89" s="142"/>
      <c r="M89" s="52"/>
      <c r="P89" s="115"/>
    </row>
    <row r="90" spans="3:16" s="140" customFormat="1" ht="33.75">
      <c r="C90" s="141"/>
      <c r="D90" s="106" t="s">
        <v>415</v>
      </c>
      <c r="E90" s="89" t="s">
        <v>236</v>
      </c>
      <c r="F90" s="68" t="s">
        <v>264</v>
      </c>
      <c r="G90" s="143">
        <f t="shared" si="0"/>
        <v>0.15442338709677417</v>
      </c>
      <c r="H90" s="143">
        <f>H87-H89</f>
        <v>3.2709677419354835E-2</v>
      </c>
      <c r="I90" s="143">
        <f>I87-I89</f>
        <v>-4.1056089462365587E-2</v>
      </c>
      <c r="J90" s="143">
        <f>J87-J89</f>
        <v>0.1403447840860215</v>
      </c>
      <c r="K90" s="143">
        <f>K87-K89</f>
        <v>2.2425015053763431E-2</v>
      </c>
      <c r="L90" s="142"/>
      <c r="M90" s="52"/>
      <c r="P90" s="115"/>
    </row>
    <row r="91" spans="3:16" s="140" customFormat="1" ht="12.75">
      <c r="C91" s="141"/>
      <c r="D91" s="106" t="s">
        <v>416</v>
      </c>
      <c r="E91" s="88" t="s">
        <v>163</v>
      </c>
      <c r="F91" s="68" t="s">
        <v>265</v>
      </c>
      <c r="G91" s="143">
        <f t="shared" si="0"/>
        <v>0</v>
      </c>
      <c r="H91" s="143">
        <f>(H54+H67+H72)-(H73+H84+H85+H86+H87)</f>
        <v>0</v>
      </c>
      <c r="I91" s="143">
        <f>(I54+I67+I72)-(I73+I84+I85+I86+I87)</f>
        <v>0</v>
      </c>
      <c r="J91" s="143">
        <f>(J54+J67+J72)-(J73+J84+J85+J86+J87)</f>
        <v>0</v>
      </c>
      <c r="K91" s="143">
        <f>(K54+K67+K72)-(K73+K84+K85+K86+K87)</f>
        <v>0</v>
      </c>
      <c r="L91" s="142"/>
      <c r="M91" s="52"/>
      <c r="P91" s="115">
        <v>500</v>
      </c>
    </row>
    <row r="92" spans="3:16" s="140" customFormat="1" ht="12.75">
      <c r="C92" s="141"/>
      <c r="D92" s="174" t="s">
        <v>202</v>
      </c>
      <c r="E92" s="175"/>
      <c r="F92" s="175"/>
      <c r="G92" s="175"/>
      <c r="H92" s="175"/>
      <c r="I92" s="175"/>
      <c r="J92" s="175"/>
      <c r="K92" s="176"/>
      <c r="L92" s="142"/>
      <c r="M92" s="52"/>
      <c r="P92" s="116"/>
    </row>
    <row r="93" spans="3:16" s="140" customFormat="1" ht="12.75">
      <c r="C93" s="141"/>
      <c r="D93" s="106" t="s">
        <v>418</v>
      </c>
      <c r="E93" s="88" t="s">
        <v>164</v>
      </c>
      <c r="F93" s="68" t="s">
        <v>266</v>
      </c>
      <c r="G93" s="143">
        <f t="shared" si="0"/>
        <v>0</v>
      </c>
      <c r="H93" s="122"/>
      <c r="I93" s="122"/>
      <c r="J93" s="122"/>
      <c r="K93" s="122"/>
      <c r="L93" s="142"/>
      <c r="M93" s="52"/>
      <c r="P93" s="115">
        <v>600</v>
      </c>
    </row>
    <row r="94" spans="3:16" s="140" customFormat="1" ht="12.75">
      <c r="C94" s="141"/>
      <c r="D94" s="106" t="s">
        <v>419</v>
      </c>
      <c r="E94" s="88" t="s">
        <v>165</v>
      </c>
      <c r="F94" s="68" t="s">
        <v>267</v>
      </c>
      <c r="G94" s="143">
        <f t="shared" si="0"/>
        <v>56.423000000000002</v>
      </c>
      <c r="H94" s="122"/>
      <c r="I94" s="122">
        <v>56.423000000000002</v>
      </c>
      <c r="J94" s="122"/>
      <c r="K94" s="122"/>
      <c r="L94" s="142"/>
      <c r="M94" s="52"/>
      <c r="P94" s="115">
        <v>610</v>
      </c>
    </row>
    <row r="95" spans="3:16" s="140" customFormat="1" ht="12.75">
      <c r="C95" s="141"/>
      <c r="D95" s="106" t="s">
        <v>420</v>
      </c>
      <c r="E95" s="88" t="s">
        <v>166</v>
      </c>
      <c r="F95" s="68" t="s">
        <v>268</v>
      </c>
      <c r="G95" s="143">
        <f t="shared" si="0"/>
        <v>0</v>
      </c>
      <c r="H95" s="122"/>
      <c r="I95" s="122"/>
      <c r="J95" s="122"/>
      <c r="K95" s="122"/>
      <c r="L95" s="142"/>
      <c r="M95" s="52"/>
      <c r="P95" s="115">
        <v>620</v>
      </c>
    </row>
    <row r="96" spans="3:16" s="140" customFormat="1" ht="12.75">
      <c r="C96" s="141"/>
      <c r="D96" s="174" t="s">
        <v>209</v>
      </c>
      <c r="E96" s="175"/>
      <c r="F96" s="175"/>
      <c r="G96" s="175"/>
      <c r="H96" s="175"/>
      <c r="I96" s="175"/>
      <c r="J96" s="175"/>
      <c r="K96" s="176"/>
      <c r="L96" s="142"/>
      <c r="M96" s="52"/>
      <c r="P96" s="116"/>
    </row>
    <row r="97" spans="3:16" s="140" customFormat="1" ht="12.75">
      <c r="C97" s="141"/>
      <c r="D97" s="106" t="s">
        <v>421</v>
      </c>
      <c r="E97" s="88" t="s">
        <v>506</v>
      </c>
      <c r="F97" s="68" t="s">
        <v>269</v>
      </c>
      <c r="G97" s="143">
        <f t="shared" si="0"/>
        <v>0</v>
      </c>
      <c r="H97" s="143">
        <f>SUM(H98:H99)</f>
        <v>0</v>
      </c>
      <c r="I97" s="143">
        <f>SUM(I98:I99)</f>
        <v>0</v>
      </c>
      <c r="J97" s="143">
        <f>SUM(J98:J99)</f>
        <v>0</v>
      </c>
      <c r="K97" s="143">
        <f>SUM(K98:K99)</f>
        <v>0</v>
      </c>
      <c r="L97" s="142"/>
      <c r="M97" s="52"/>
      <c r="P97" s="115">
        <v>700</v>
      </c>
    </row>
    <row r="98" spans="3:16" ht="12.75">
      <c r="C98" s="130"/>
      <c r="D98" s="107" t="s">
        <v>422</v>
      </c>
      <c r="E98" s="67" t="s">
        <v>167</v>
      </c>
      <c r="F98" s="68" t="s">
        <v>270</v>
      </c>
      <c r="G98" s="143">
        <f t="shared" si="0"/>
        <v>0</v>
      </c>
      <c r="H98" s="152"/>
      <c r="I98" s="152"/>
      <c r="J98" s="152"/>
      <c r="K98" s="152"/>
      <c r="L98" s="137"/>
      <c r="M98" s="52"/>
      <c r="P98" s="115">
        <v>710</v>
      </c>
    </row>
    <row r="99" spans="3:16" ht="12.75">
      <c r="C99" s="130"/>
      <c r="D99" s="107" t="s">
        <v>423</v>
      </c>
      <c r="E99" s="67" t="s">
        <v>507</v>
      </c>
      <c r="F99" s="68" t="s">
        <v>271</v>
      </c>
      <c r="G99" s="143">
        <f t="shared" si="0"/>
        <v>0</v>
      </c>
      <c r="H99" s="153">
        <f>H102</f>
        <v>0</v>
      </c>
      <c r="I99" s="153">
        <f>I102</f>
        <v>0</v>
      </c>
      <c r="J99" s="153">
        <f>J102</f>
        <v>0</v>
      </c>
      <c r="K99" s="153">
        <f>K102</f>
        <v>0</v>
      </c>
      <c r="L99" s="137"/>
      <c r="M99" s="52"/>
      <c r="P99" s="115">
        <v>720</v>
      </c>
    </row>
    <row r="100" spans="3:16" ht="12.75">
      <c r="C100" s="130"/>
      <c r="D100" s="107" t="s">
        <v>424</v>
      </c>
      <c r="E100" s="69" t="s">
        <v>508</v>
      </c>
      <c r="F100" s="68" t="s">
        <v>273</v>
      </c>
      <c r="G100" s="143">
        <f t="shared" si="0"/>
        <v>0</v>
      </c>
      <c r="H100" s="152"/>
      <c r="I100" s="152"/>
      <c r="J100" s="152"/>
      <c r="K100" s="152"/>
      <c r="L100" s="137"/>
      <c r="M100" s="52"/>
      <c r="P100" s="115">
        <v>730</v>
      </c>
    </row>
    <row r="101" spans="3:16" ht="12.75">
      <c r="C101" s="130"/>
      <c r="D101" s="107" t="s">
        <v>425</v>
      </c>
      <c r="E101" s="71" t="s">
        <v>509</v>
      </c>
      <c r="F101" s="68" t="s">
        <v>274</v>
      </c>
      <c r="G101" s="143">
        <f t="shared" si="0"/>
        <v>0</v>
      </c>
      <c r="H101" s="152"/>
      <c r="I101" s="152"/>
      <c r="J101" s="152"/>
      <c r="K101" s="152"/>
      <c r="L101" s="137"/>
      <c r="M101" s="52"/>
      <c r="P101" s="115"/>
    </row>
    <row r="102" spans="3:16" ht="12.75">
      <c r="C102" s="130"/>
      <c r="D102" s="107" t="s">
        <v>426</v>
      </c>
      <c r="E102" s="69" t="s">
        <v>478</v>
      </c>
      <c r="F102" s="68" t="s">
        <v>275</v>
      </c>
      <c r="G102" s="143">
        <f t="shared" si="0"/>
        <v>0</v>
      </c>
      <c r="H102" s="152"/>
      <c r="I102" s="152"/>
      <c r="J102" s="152"/>
      <c r="K102" s="152"/>
      <c r="L102" s="137"/>
      <c r="M102" s="52"/>
      <c r="P102" s="115">
        <v>740</v>
      </c>
    </row>
    <row r="103" spans="3:16" ht="12.75">
      <c r="C103" s="130"/>
      <c r="D103" s="107" t="s">
        <v>427</v>
      </c>
      <c r="E103" s="88" t="s">
        <v>510</v>
      </c>
      <c r="F103" s="68" t="s">
        <v>277</v>
      </c>
      <c r="G103" s="143">
        <f t="shared" si="0"/>
        <v>0</v>
      </c>
      <c r="H103" s="153">
        <f>H104+H120</f>
        <v>0</v>
      </c>
      <c r="I103" s="153">
        <f>I104+I120</f>
        <v>0</v>
      </c>
      <c r="J103" s="153">
        <f>J104+J120</f>
        <v>0</v>
      </c>
      <c r="K103" s="153">
        <f>K104+K120</f>
        <v>0</v>
      </c>
      <c r="L103" s="137"/>
      <c r="M103" s="52"/>
      <c r="P103" s="115">
        <v>750</v>
      </c>
    </row>
    <row r="104" spans="3:16" ht="12.75">
      <c r="C104" s="130"/>
      <c r="D104" s="107" t="s">
        <v>428</v>
      </c>
      <c r="E104" s="67" t="s">
        <v>279</v>
      </c>
      <c r="F104" s="68" t="s">
        <v>278</v>
      </c>
      <c r="G104" s="143">
        <f t="shared" si="0"/>
        <v>0</v>
      </c>
      <c r="H104" s="153">
        <f>H105+H106</f>
        <v>0</v>
      </c>
      <c r="I104" s="153">
        <f>I105+I106</f>
        <v>0</v>
      </c>
      <c r="J104" s="153">
        <f>J105+J106</f>
        <v>0</v>
      </c>
      <c r="K104" s="153">
        <f>K105+K106</f>
        <v>0</v>
      </c>
      <c r="L104" s="137"/>
      <c r="M104" s="52"/>
      <c r="P104" s="115">
        <v>760</v>
      </c>
    </row>
    <row r="105" spans="3:16" ht="12.75">
      <c r="C105" s="130"/>
      <c r="D105" s="107" t="s">
        <v>429</v>
      </c>
      <c r="E105" s="69" t="s">
        <v>222</v>
      </c>
      <c r="F105" s="68" t="s">
        <v>280</v>
      </c>
      <c r="G105" s="143">
        <f t="shared" si="0"/>
        <v>0</v>
      </c>
      <c r="H105" s="152"/>
      <c r="I105" s="152"/>
      <c r="J105" s="152"/>
      <c r="K105" s="152"/>
      <c r="L105" s="137"/>
      <c r="M105" s="52"/>
      <c r="P105" s="115"/>
    </row>
    <row r="106" spans="3:16" ht="12.75">
      <c r="C106" s="130"/>
      <c r="D106" s="107" t="s">
        <v>430</v>
      </c>
      <c r="E106" s="69" t="s">
        <v>511</v>
      </c>
      <c r="F106" s="68" t="s">
        <v>281</v>
      </c>
      <c r="G106" s="143">
        <f t="shared" si="0"/>
        <v>0</v>
      </c>
      <c r="H106" s="153">
        <f>H107+H110+H113+H116+H117+H118+H119</f>
        <v>0</v>
      </c>
      <c r="I106" s="153">
        <f>I107+I110+I113+I116+I117+I118+I119</f>
        <v>0</v>
      </c>
      <c r="J106" s="153">
        <f>J107+J110+J113+J116+J117+J118+J119</f>
        <v>0</v>
      </c>
      <c r="K106" s="153">
        <f>K107+K110+K113+K116+K117+K118+K119</f>
        <v>0</v>
      </c>
      <c r="L106" s="137"/>
      <c r="M106" s="52"/>
      <c r="P106" s="115"/>
    </row>
    <row r="107" spans="3:16" ht="45">
      <c r="C107" s="130"/>
      <c r="D107" s="107" t="s">
        <v>431</v>
      </c>
      <c r="E107" s="71" t="s">
        <v>512</v>
      </c>
      <c r="F107" s="68" t="s">
        <v>282</v>
      </c>
      <c r="G107" s="143">
        <f t="shared" si="0"/>
        <v>0</v>
      </c>
      <c r="H107" s="154">
        <f>H108+H109</f>
        <v>0</v>
      </c>
      <c r="I107" s="154">
        <f>I108+I109</f>
        <v>0</v>
      </c>
      <c r="J107" s="154">
        <f>J108+J109</f>
        <v>0</v>
      </c>
      <c r="K107" s="154">
        <f>K108+K109</f>
        <v>0</v>
      </c>
      <c r="L107" s="137"/>
      <c r="M107" s="52"/>
      <c r="P107" s="115"/>
    </row>
    <row r="108" spans="3:16" ht="12.75">
      <c r="C108" s="130"/>
      <c r="D108" s="107" t="s">
        <v>433</v>
      </c>
      <c r="E108" s="72" t="s">
        <v>283</v>
      </c>
      <c r="F108" s="68" t="s">
        <v>284</v>
      </c>
      <c r="G108" s="143">
        <f t="shared" si="0"/>
        <v>0</v>
      </c>
      <c r="H108" s="152"/>
      <c r="I108" s="152"/>
      <c r="J108" s="152"/>
      <c r="K108" s="152"/>
      <c r="L108" s="137"/>
      <c r="M108" s="52"/>
      <c r="P108" s="115"/>
    </row>
    <row r="109" spans="3:16" ht="12.75">
      <c r="C109" s="130"/>
      <c r="D109" s="107" t="s">
        <v>434</v>
      </c>
      <c r="E109" s="72" t="s">
        <v>285</v>
      </c>
      <c r="F109" s="68" t="s">
        <v>286</v>
      </c>
      <c r="G109" s="143">
        <f t="shared" si="0"/>
        <v>0</v>
      </c>
      <c r="H109" s="152"/>
      <c r="I109" s="152"/>
      <c r="J109" s="152"/>
      <c r="K109" s="152"/>
      <c r="L109" s="137"/>
      <c r="M109" s="52"/>
      <c r="P109" s="115"/>
    </row>
    <row r="110" spans="3:16" ht="45">
      <c r="C110" s="130"/>
      <c r="D110" s="107" t="s">
        <v>432</v>
      </c>
      <c r="E110" s="71" t="s">
        <v>513</v>
      </c>
      <c r="F110" s="68" t="s">
        <v>287</v>
      </c>
      <c r="G110" s="143">
        <f t="shared" si="0"/>
        <v>0</v>
      </c>
      <c r="H110" s="154">
        <f>H111+H112</f>
        <v>0</v>
      </c>
      <c r="I110" s="154">
        <f>I111+I112</f>
        <v>0</v>
      </c>
      <c r="J110" s="154">
        <f>J111+J112</f>
        <v>0</v>
      </c>
      <c r="K110" s="154">
        <f>K111+K112</f>
        <v>0</v>
      </c>
      <c r="L110" s="137"/>
      <c r="M110" s="52"/>
      <c r="P110" s="115"/>
    </row>
    <row r="111" spans="3:16" ht="12.75">
      <c r="C111" s="130"/>
      <c r="D111" s="107" t="s">
        <v>435</v>
      </c>
      <c r="E111" s="72" t="s">
        <v>283</v>
      </c>
      <c r="F111" s="68" t="s">
        <v>288</v>
      </c>
      <c r="G111" s="143">
        <f t="shared" si="0"/>
        <v>0</v>
      </c>
      <c r="H111" s="152"/>
      <c r="I111" s="152"/>
      <c r="J111" s="152"/>
      <c r="K111" s="152"/>
      <c r="L111" s="137"/>
      <c r="M111" s="52"/>
      <c r="P111" s="115"/>
    </row>
    <row r="112" spans="3:16" ht="12.75">
      <c r="C112" s="130"/>
      <c r="D112" s="107" t="s">
        <v>436</v>
      </c>
      <c r="E112" s="72" t="s">
        <v>285</v>
      </c>
      <c r="F112" s="68" t="s">
        <v>289</v>
      </c>
      <c r="G112" s="143">
        <f t="shared" si="0"/>
        <v>0</v>
      </c>
      <c r="H112" s="152"/>
      <c r="I112" s="152"/>
      <c r="J112" s="152"/>
      <c r="K112" s="152"/>
      <c r="L112" s="137"/>
      <c r="M112" s="52"/>
      <c r="P112" s="115"/>
    </row>
    <row r="113" spans="3:16" ht="22.5">
      <c r="C113" s="130"/>
      <c r="D113" s="107" t="s">
        <v>437</v>
      </c>
      <c r="E113" s="71" t="s">
        <v>514</v>
      </c>
      <c r="F113" s="68" t="s">
        <v>290</v>
      </c>
      <c r="G113" s="143">
        <f t="shared" si="0"/>
        <v>0</v>
      </c>
      <c r="H113" s="154">
        <f>H114+H115</f>
        <v>0</v>
      </c>
      <c r="I113" s="154">
        <f>I114+I115</f>
        <v>0</v>
      </c>
      <c r="J113" s="154">
        <f>J114+J115</f>
        <v>0</v>
      </c>
      <c r="K113" s="154">
        <f>K114+K115</f>
        <v>0</v>
      </c>
      <c r="L113" s="137"/>
      <c r="M113" s="52"/>
      <c r="P113" s="115"/>
    </row>
    <row r="114" spans="3:16" ht="12.75">
      <c r="C114" s="130"/>
      <c r="D114" s="107" t="s">
        <v>438</v>
      </c>
      <c r="E114" s="72" t="s">
        <v>283</v>
      </c>
      <c r="F114" s="68" t="s">
        <v>291</v>
      </c>
      <c r="G114" s="143">
        <f t="shared" si="0"/>
        <v>0</v>
      </c>
      <c r="H114" s="152"/>
      <c r="I114" s="152"/>
      <c r="J114" s="152"/>
      <c r="K114" s="152"/>
      <c r="L114" s="137"/>
      <c r="M114" s="52"/>
      <c r="P114" s="115"/>
    </row>
    <row r="115" spans="3:16" ht="12.75">
      <c r="C115" s="130"/>
      <c r="D115" s="107" t="s">
        <v>439</v>
      </c>
      <c r="E115" s="72" t="s">
        <v>285</v>
      </c>
      <c r="F115" s="68" t="s">
        <v>292</v>
      </c>
      <c r="G115" s="143">
        <f t="shared" si="0"/>
        <v>0</v>
      </c>
      <c r="H115" s="152"/>
      <c r="I115" s="152"/>
      <c r="J115" s="152"/>
      <c r="K115" s="152"/>
      <c r="L115" s="137"/>
      <c r="M115" s="52"/>
      <c r="P115" s="115"/>
    </row>
    <row r="116" spans="3:16" ht="22.5">
      <c r="C116" s="130"/>
      <c r="D116" s="107" t="s">
        <v>440</v>
      </c>
      <c r="E116" s="71" t="s">
        <v>293</v>
      </c>
      <c r="F116" s="68" t="s">
        <v>294</v>
      </c>
      <c r="G116" s="143">
        <f t="shared" si="0"/>
        <v>0</v>
      </c>
      <c r="H116" s="152"/>
      <c r="I116" s="152"/>
      <c r="J116" s="152"/>
      <c r="K116" s="152"/>
      <c r="L116" s="137"/>
      <c r="M116" s="52"/>
      <c r="P116" s="115"/>
    </row>
    <row r="117" spans="3:16" ht="12.75">
      <c r="C117" s="130"/>
      <c r="D117" s="107" t="s">
        <v>441</v>
      </c>
      <c r="E117" s="71" t="s">
        <v>295</v>
      </c>
      <c r="F117" s="68" t="s">
        <v>296</v>
      </c>
      <c r="G117" s="143">
        <f t="shared" si="0"/>
        <v>0</v>
      </c>
      <c r="H117" s="152"/>
      <c r="I117" s="152"/>
      <c r="J117" s="152"/>
      <c r="K117" s="152"/>
      <c r="L117" s="137"/>
      <c r="M117" s="52"/>
      <c r="P117" s="115"/>
    </row>
    <row r="118" spans="3:16" ht="45">
      <c r="C118" s="130"/>
      <c r="D118" s="107" t="s">
        <v>442</v>
      </c>
      <c r="E118" s="71" t="s">
        <v>479</v>
      </c>
      <c r="F118" s="68" t="s">
        <v>297</v>
      </c>
      <c r="G118" s="143">
        <f t="shared" si="0"/>
        <v>0</v>
      </c>
      <c r="H118" s="152"/>
      <c r="I118" s="152"/>
      <c r="J118" s="152"/>
      <c r="K118" s="152"/>
      <c r="L118" s="137"/>
      <c r="M118" s="52"/>
      <c r="P118" s="115"/>
    </row>
    <row r="119" spans="3:16" ht="22.5">
      <c r="C119" s="130"/>
      <c r="D119" s="107" t="s">
        <v>443</v>
      </c>
      <c r="E119" s="71" t="s">
        <v>298</v>
      </c>
      <c r="F119" s="68" t="s">
        <v>299</v>
      </c>
      <c r="G119" s="143">
        <f t="shared" si="0"/>
        <v>0</v>
      </c>
      <c r="H119" s="152"/>
      <c r="I119" s="152"/>
      <c r="J119" s="152"/>
      <c r="K119" s="152"/>
      <c r="L119" s="137"/>
      <c r="M119" s="52"/>
      <c r="P119" s="115"/>
    </row>
    <row r="120" spans="3:16" ht="12.75">
      <c r="C120" s="130"/>
      <c r="D120" s="107" t="s">
        <v>444</v>
      </c>
      <c r="E120" s="67" t="s">
        <v>515</v>
      </c>
      <c r="F120" s="68" t="s">
        <v>300</v>
      </c>
      <c r="G120" s="143">
        <f t="shared" si="0"/>
        <v>0</v>
      </c>
      <c r="H120" s="153">
        <f>H123</f>
        <v>0</v>
      </c>
      <c r="I120" s="153">
        <f>I123</f>
        <v>0</v>
      </c>
      <c r="J120" s="153">
        <f>J123</f>
        <v>0</v>
      </c>
      <c r="K120" s="153">
        <f>K123</f>
        <v>0</v>
      </c>
      <c r="L120" s="137"/>
      <c r="M120" s="52"/>
      <c r="P120" s="115">
        <v>770</v>
      </c>
    </row>
    <row r="121" spans="3:16" ht="12.75">
      <c r="C121" s="130"/>
      <c r="D121" s="107" t="s">
        <v>445</v>
      </c>
      <c r="E121" s="69" t="s">
        <v>508</v>
      </c>
      <c r="F121" s="68" t="s">
        <v>301</v>
      </c>
      <c r="G121" s="143">
        <f t="shared" si="0"/>
        <v>0</v>
      </c>
      <c r="H121" s="152"/>
      <c r="I121" s="152"/>
      <c r="J121" s="152"/>
      <c r="K121" s="152"/>
      <c r="L121" s="137"/>
      <c r="M121" s="52"/>
      <c r="P121" s="115">
        <v>780</v>
      </c>
    </row>
    <row r="122" spans="3:16" ht="12.75">
      <c r="C122" s="130"/>
      <c r="D122" s="107" t="s">
        <v>446</v>
      </c>
      <c r="E122" s="71" t="s">
        <v>516</v>
      </c>
      <c r="F122" s="68" t="s">
        <v>302</v>
      </c>
      <c r="G122" s="143">
        <f t="shared" si="0"/>
        <v>0</v>
      </c>
      <c r="H122" s="152"/>
      <c r="I122" s="152"/>
      <c r="J122" s="152"/>
      <c r="K122" s="152"/>
      <c r="L122" s="137"/>
      <c r="M122" s="52"/>
      <c r="P122" s="115"/>
    </row>
    <row r="123" spans="3:16" ht="12.75">
      <c r="C123" s="130"/>
      <c r="D123" s="107" t="s">
        <v>447</v>
      </c>
      <c r="E123" s="69" t="s">
        <v>478</v>
      </c>
      <c r="F123" s="68" t="s">
        <v>303</v>
      </c>
      <c r="G123" s="143">
        <f t="shared" si="0"/>
        <v>0</v>
      </c>
      <c r="H123" s="152"/>
      <c r="I123" s="152"/>
      <c r="J123" s="152"/>
      <c r="K123" s="152"/>
      <c r="L123" s="137"/>
      <c r="M123" s="52"/>
      <c r="P123" s="115">
        <v>790</v>
      </c>
    </row>
    <row r="124" spans="3:16" ht="22.5">
      <c r="C124" s="130"/>
      <c r="D124" s="107" t="s">
        <v>448</v>
      </c>
      <c r="E124" s="89" t="s">
        <v>517</v>
      </c>
      <c r="F124" s="68" t="s">
        <v>304</v>
      </c>
      <c r="G124" s="143">
        <f t="shared" si="0"/>
        <v>8097.1450000000004</v>
      </c>
      <c r="H124" s="153">
        <f>SUM(H125:H126)</f>
        <v>24.335999999999999</v>
      </c>
      <c r="I124" s="153">
        <f>SUM(I125:I126)</f>
        <v>4063.4570000000003</v>
      </c>
      <c r="J124" s="153">
        <f>SUM(J125:J126)</f>
        <v>2857.0280000000002</v>
      </c>
      <c r="K124" s="153">
        <f>SUM(K125:K126)</f>
        <v>1152.3240000000001</v>
      </c>
      <c r="L124" s="137"/>
      <c r="M124" s="52"/>
      <c r="P124" s="115"/>
    </row>
    <row r="125" spans="3:16" ht="12.75">
      <c r="C125" s="130"/>
      <c r="D125" s="107" t="s">
        <v>449</v>
      </c>
      <c r="E125" s="67" t="s">
        <v>167</v>
      </c>
      <c r="F125" s="68" t="s">
        <v>305</v>
      </c>
      <c r="G125" s="143">
        <f t="shared" si="0"/>
        <v>0</v>
      </c>
      <c r="H125" s="152"/>
      <c r="I125" s="152"/>
      <c r="J125" s="152"/>
      <c r="K125" s="152"/>
      <c r="L125" s="137"/>
      <c r="M125" s="52"/>
      <c r="P125" s="115"/>
    </row>
    <row r="126" spans="3:16" ht="12.75">
      <c r="C126" s="130"/>
      <c r="D126" s="107" t="s">
        <v>450</v>
      </c>
      <c r="E126" s="67" t="s">
        <v>507</v>
      </c>
      <c r="F126" s="68" t="s">
        <v>306</v>
      </c>
      <c r="G126" s="143">
        <f t="shared" si="0"/>
        <v>8097.1450000000004</v>
      </c>
      <c r="H126" s="153">
        <f>H128</f>
        <v>24.335999999999999</v>
      </c>
      <c r="I126" s="153">
        <f>I128</f>
        <v>4063.4570000000003</v>
      </c>
      <c r="J126" s="153">
        <f>J128</f>
        <v>2857.0280000000002</v>
      </c>
      <c r="K126" s="153">
        <f>K128</f>
        <v>1152.3240000000001</v>
      </c>
      <c r="L126" s="137"/>
      <c r="M126" s="52"/>
      <c r="P126" s="115"/>
    </row>
    <row r="127" spans="3:16" ht="12.75">
      <c r="C127" s="130"/>
      <c r="D127" s="107" t="s">
        <v>451</v>
      </c>
      <c r="E127" s="69" t="s">
        <v>272</v>
      </c>
      <c r="F127" s="68" t="s">
        <v>307</v>
      </c>
      <c r="G127" s="143">
        <f t="shared" si="0"/>
        <v>56.423000000000002</v>
      </c>
      <c r="H127" s="152"/>
      <c r="I127" s="152">
        <f>I94</f>
        <v>56.423000000000002</v>
      </c>
      <c r="J127" s="152"/>
      <c r="K127" s="152"/>
      <c r="L127" s="137"/>
      <c r="M127" s="52"/>
      <c r="P127" s="115"/>
    </row>
    <row r="128" spans="3:16" ht="12.75">
      <c r="C128" s="130"/>
      <c r="D128" s="107" t="s">
        <v>452</v>
      </c>
      <c r="E128" s="69" t="s">
        <v>478</v>
      </c>
      <c r="F128" s="68" t="s">
        <v>308</v>
      </c>
      <c r="G128" s="143">
        <f t="shared" si="0"/>
        <v>8097.1450000000004</v>
      </c>
      <c r="H128" s="152">
        <f>H48+H34</f>
        <v>24.335999999999999</v>
      </c>
      <c r="I128" s="152">
        <f>I34+206.88</f>
        <v>4063.4570000000003</v>
      </c>
      <c r="J128" s="152">
        <f>J34+5.791+31.949+60.591</f>
        <v>2857.0280000000002</v>
      </c>
      <c r="K128" s="152">
        <f>K34</f>
        <v>1152.3240000000001</v>
      </c>
      <c r="L128" s="137"/>
      <c r="M128" s="52"/>
      <c r="P128" s="115"/>
    </row>
    <row r="129" spans="3:16" ht="12.75">
      <c r="C129" s="130"/>
      <c r="D129" s="174" t="s">
        <v>203</v>
      </c>
      <c r="E129" s="175"/>
      <c r="F129" s="175"/>
      <c r="G129" s="175"/>
      <c r="H129" s="175"/>
      <c r="I129" s="175"/>
      <c r="J129" s="175"/>
      <c r="K129" s="176"/>
      <c r="L129" s="137"/>
      <c r="M129" s="52"/>
      <c r="P129" s="117"/>
    </row>
    <row r="130" spans="3:16" ht="22.5">
      <c r="C130" s="130"/>
      <c r="D130" s="107" t="s">
        <v>453</v>
      </c>
      <c r="E130" s="88" t="s">
        <v>518</v>
      </c>
      <c r="F130" s="68" t="s">
        <v>309</v>
      </c>
      <c r="G130" s="143">
        <f t="shared" si="0"/>
        <v>0</v>
      </c>
      <c r="H130" s="153">
        <f>SUM( H131:H132)</f>
        <v>0</v>
      </c>
      <c r="I130" s="153">
        <f>SUM( I131:I132)</f>
        <v>0</v>
      </c>
      <c r="J130" s="153">
        <f>SUM( J131:J132)</f>
        <v>0</v>
      </c>
      <c r="K130" s="153">
        <f>SUM( K131:K132)</f>
        <v>0</v>
      </c>
      <c r="L130" s="137"/>
      <c r="M130" s="52"/>
      <c r="P130" s="115">
        <v>800</v>
      </c>
    </row>
    <row r="131" spans="3:16" ht="12.75">
      <c r="C131" s="130"/>
      <c r="D131" s="107" t="s">
        <v>454</v>
      </c>
      <c r="E131" s="67" t="s">
        <v>167</v>
      </c>
      <c r="F131" s="68" t="s">
        <v>310</v>
      </c>
      <c r="G131" s="143">
        <f t="shared" si="0"/>
        <v>0</v>
      </c>
      <c r="H131" s="152"/>
      <c r="I131" s="152"/>
      <c r="J131" s="152"/>
      <c r="K131" s="152"/>
      <c r="L131" s="137"/>
      <c r="M131" s="52"/>
      <c r="P131" s="115">
        <v>810</v>
      </c>
    </row>
    <row r="132" spans="3:16" ht="12.75">
      <c r="C132" s="130"/>
      <c r="D132" s="107" t="s">
        <v>455</v>
      </c>
      <c r="E132" s="67" t="s">
        <v>507</v>
      </c>
      <c r="F132" s="68" t="s">
        <v>311</v>
      </c>
      <c r="G132" s="143">
        <f t="shared" si="0"/>
        <v>0</v>
      </c>
      <c r="H132" s="153">
        <f>H133+H135</f>
        <v>0</v>
      </c>
      <c r="I132" s="153">
        <f>I133+I135</f>
        <v>0</v>
      </c>
      <c r="J132" s="153">
        <f>J133+J135</f>
        <v>0</v>
      </c>
      <c r="K132" s="153">
        <f>K133+K135</f>
        <v>0</v>
      </c>
      <c r="L132" s="137"/>
      <c r="M132" s="52"/>
      <c r="P132" s="115">
        <v>820</v>
      </c>
    </row>
    <row r="133" spans="3:16" ht="12.75">
      <c r="C133" s="130"/>
      <c r="D133" s="107" t="s">
        <v>456</v>
      </c>
      <c r="E133" s="69" t="s">
        <v>519</v>
      </c>
      <c r="F133" s="68" t="s">
        <v>312</v>
      </c>
      <c r="G133" s="143">
        <f t="shared" si="0"/>
        <v>0</v>
      </c>
      <c r="H133" s="152"/>
      <c r="I133" s="152"/>
      <c r="J133" s="152"/>
      <c r="K133" s="152"/>
      <c r="L133" s="137"/>
      <c r="M133" s="52"/>
      <c r="P133" s="115">
        <v>830</v>
      </c>
    </row>
    <row r="134" spans="3:16" ht="12.75">
      <c r="C134" s="130"/>
      <c r="D134" s="107" t="s">
        <v>457</v>
      </c>
      <c r="E134" s="71" t="s">
        <v>520</v>
      </c>
      <c r="F134" s="68" t="s">
        <v>313</v>
      </c>
      <c r="G134" s="143">
        <f t="shared" si="0"/>
        <v>0</v>
      </c>
      <c r="H134" s="152"/>
      <c r="I134" s="152"/>
      <c r="J134" s="152"/>
      <c r="K134" s="152"/>
      <c r="L134" s="137"/>
      <c r="M134" s="52"/>
      <c r="P134" s="117"/>
    </row>
    <row r="135" spans="3:16" ht="12.75">
      <c r="C135" s="130"/>
      <c r="D135" s="107" t="s">
        <v>458</v>
      </c>
      <c r="E135" s="69" t="s">
        <v>169</v>
      </c>
      <c r="F135" s="68" t="s">
        <v>314</v>
      </c>
      <c r="G135" s="143">
        <f t="shared" si="0"/>
        <v>0</v>
      </c>
      <c r="H135" s="152"/>
      <c r="I135" s="152"/>
      <c r="J135" s="152"/>
      <c r="K135" s="152"/>
      <c r="L135" s="137"/>
      <c r="M135" s="52"/>
      <c r="P135" s="115">
        <v>840</v>
      </c>
    </row>
    <row r="136" spans="3:16" ht="12.75">
      <c r="C136" s="130"/>
      <c r="D136" s="107" t="s">
        <v>336</v>
      </c>
      <c r="E136" s="88" t="s">
        <v>521</v>
      </c>
      <c r="F136" s="68" t="s">
        <v>315</v>
      </c>
      <c r="G136" s="143">
        <f t="shared" si="0"/>
        <v>0</v>
      </c>
      <c r="H136" s="154">
        <f>SUM( H137+H142)</f>
        <v>0</v>
      </c>
      <c r="I136" s="154">
        <f>SUM( I137+I142)</f>
        <v>0</v>
      </c>
      <c r="J136" s="154">
        <f>SUM( J137+J142)</f>
        <v>0</v>
      </c>
      <c r="K136" s="154">
        <f>SUM( K137+K142)</f>
        <v>0</v>
      </c>
      <c r="L136" s="155"/>
      <c r="M136" s="52"/>
      <c r="P136" s="115">
        <v>850</v>
      </c>
    </row>
    <row r="137" spans="3:16" ht="12.75">
      <c r="C137" s="130"/>
      <c r="D137" s="107" t="s">
        <v>459</v>
      </c>
      <c r="E137" s="67" t="s">
        <v>167</v>
      </c>
      <c r="F137" s="68" t="s">
        <v>316</v>
      </c>
      <c r="G137" s="143">
        <f t="shared" ref="G137:G150" si="1">SUM(H137:K137)</f>
        <v>0</v>
      </c>
      <c r="H137" s="154">
        <f>SUM( H138:H139)</f>
        <v>0</v>
      </c>
      <c r="I137" s="154">
        <f>SUM( I138:I139)</f>
        <v>0</v>
      </c>
      <c r="J137" s="154">
        <f>SUM( J138:J139)</f>
        <v>0</v>
      </c>
      <c r="K137" s="154">
        <f>SUM( K138:K139)</f>
        <v>0</v>
      </c>
      <c r="L137" s="155"/>
      <c r="M137" s="52"/>
      <c r="P137" s="115">
        <v>860</v>
      </c>
    </row>
    <row r="138" spans="3:16" ht="12.75">
      <c r="C138" s="130"/>
      <c r="D138" s="107" t="s">
        <v>460</v>
      </c>
      <c r="E138" s="69" t="s">
        <v>222</v>
      </c>
      <c r="F138" s="68" t="s">
        <v>317</v>
      </c>
      <c r="G138" s="143">
        <f t="shared" si="1"/>
        <v>0</v>
      </c>
      <c r="H138" s="156"/>
      <c r="I138" s="156"/>
      <c r="J138" s="156"/>
      <c r="K138" s="156"/>
      <c r="L138" s="155"/>
      <c r="M138" s="52"/>
      <c r="P138" s="115"/>
    </row>
    <row r="139" spans="3:16" ht="12.75">
      <c r="C139" s="130"/>
      <c r="D139" s="107" t="s">
        <v>461</v>
      </c>
      <c r="E139" s="69" t="s">
        <v>511</v>
      </c>
      <c r="F139" s="68" t="s">
        <v>318</v>
      </c>
      <c r="G139" s="143">
        <f t="shared" si="1"/>
        <v>0</v>
      </c>
      <c r="H139" s="154">
        <f>H140+H141</f>
        <v>0</v>
      </c>
      <c r="I139" s="154">
        <f>I140+I141</f>
        <v>0</v>
      </c>
      <c r="J139" s="154">
        <f>J140+J141</f>
        <v>0</v>
      </c>
      <c r="K139" s="154">
        <f>K140+K141</f>
        <v>0</v>
      </c>
      <c r="L139" s="155"/>
      <c r="M139" s="52"/>
      <c r="P139" s="115"/>
    </row>
    <row r="140" spans="3:16" ht="12.75">
      <c r="C140" s="130"/>
      <c r="D140" s="107" t="s">
        <v>462</v>
      </c>
      <c r="E140" s="71" t="s">
        <v>283</v>
      </c>
      <c r="F140" s="68" t="s">
        <v>319</v>
      </c>
      <c r="G140" s="143">
        <f t="shared" si="1"/>
        <v>0</v>
      </c>
      <c r="H140" s="156"/>
      <c r="I140" s="156"/>
      <c r="J140" s="156"/>
      <c r="K140" s="156"/>
      <c r="L140" s="155"/>
      <c r="M140" s="52"/>
      <c r="P140" s="115"/>
    </row>
    <row r="141" spans="3:16" ht="12.75">
      <c r="C141" s="130"/>
      <c r="D141" s="107" t="s">
        <v>463</v>
      </c>
      <c r="E141" s="71" t="s">
        <v>320</v>
      </c>
      <c r="F141" s="68" t="s">
        <v>321</v>
      </c>
      <c r="G141" s="143">
        <f t="shared" si="1"/>
        <v>0</v>
      </c>
      <c r="H141" s="156"/>
      <c r="I141" s="156"/>
      <c r="J141" s="156"/>
      <c r="K141" s="156"/>
      <c r="L141" s="155"/>
      <c r="M141" s="52"/>
      <c r="P141" s="115"/>
    </row>
    <row r="142" spans="3:16" ht="12.75">
      <c r="C142" s="130"/>
      <c r="D142" s="107" t="s">
        <v>464</v>
      </c>
      <c r="E142" s="67" t="s">
        <v>515</v>
      </c>
      <c r="F142" s="68" t="s">
        <v>322</v>
      </c>
      <c r="G142" s="143">
        <f t="shared" si="1"/>
        <v>0</v>
      </c>
      <c r="H142" s="154">
        <f>H143+H145</f>
        <v>0</v>
      </c>
      <c r="I142" s="154">
        <f>I143+I145</f>
        <v>0</v>
      </c>
      <c r="J142" s="154">
        <f>J143+J145</f>
        <v>0</v>
      </c>
      <c r="K142" s="154">
        <f>K143+K145</f>
        <v>0</v>
      </c>
      <c r="L142" s="155"/>
      <c r="M142" s="52"/>
      <c r="P142" s="115">
        <v>870</v>
      </c>
    </row>
    <row r="143" spans="3:16" ht="12.75">
      <c r="C143" s="130"/>
      <c r="D143" s="107" t="s">
        <v>465</v>
      </c>
      <c r="E143" s="69" t="s">
        <v>519</v>
      </c>
      <c r="F143" s="68" t="s">
        <v>323</v>
      </c>
      <c r="G143" s="143">
        <f t="shared" si="1"/>
        <v>0</v>
      </c>
      <c r="H143" s="152"/>
      <c r="I143" s="152"/>
      <c r="J143" s="152"/>
      <c r="K143" s="152"/>
      <c r="L143" s="155"/>
      <c r="M143" s="52"/>
      <c r="P143" s="115">
        <v>880</v>
      </c>
    </row>
    <row r="144" spans="3:16" ht="12.75">
      <c r="C144" s="130"/>
      <c r="D144" s="107" t="s">
        <v>466</v>
      </c>
      <c r="E144" s="71" t="s">
        <v>520</v>
      </c>
      <c r="F144" s="68" t="s">
        <v>324</v>
      </c>
      <c r="G144" s="143">
        <f t="shared" si="1"/>
        <v>0</v>
      </c>
      <c r="H144" s="152"/>
      <c r="I144" s="152"/>
      <c r="J144" s="152"/>
      <c r="K144" s="152"/>
      <c r="L144" s="155"/>
      <c r="M144" s="52"/>
      <c r="P144" s="115"/>
    </row>
    <row r="145" spans="3:19" ht="12.75">
      <c r="C145" s="130"/>
      <c r="D145" s="107" t="s">
        <v>467</v>
      </c>
      <c r="E145" s="69" t="s">
        <v>169</v>
      </c>
      <c r="F145" s="68" t="s">
        <v>325</v>
      </c>
      <c r="G145" s="143">
        <f t="shared" si="1"/>
        <v>0</v>
      </c>
      <c r="H145" s="157"/>
      <c r="I145" s="157"/>
      <c r="J145" s="157"/>
      <c r="K145" s="157"/>
      <c r="L145" s="155"/>
      <c r="M145" s="52"/>
      <c r="P145" s="115">
        <v>890</v>
      </c>
    </row>
    <row r="146" spans="3:19" ht="22.5">
      <c r="C146" s="130"/>
      <c r="D146" s="107" t="s">
        <v>468</v>
      </c>
      <c r="E146" s="88" t="s">
        <v>522</v>
      </c>
      <c r="F146" s="68" t="s">
        <v>326</v>
      </c>
      <c r="G146" s="143">
        <f t="shared" si="1"/>
        <v>4300.6110114960002</v>
      </c>
      <c r="H146" s="158">
        <f>SUM( H147:H148)</f>
        <v>2.3888217599999995</v>
      </c>
      <c r="I146" s="158">
        <f>SUM( I147:I148)</f>
        <v>3904.6641974160002</v>
      </c>
      <c r="J146" s="158">
        <f>SUM( J147:J148)</f>
        <v>280.44586848</v>
      </c>
      <c r="K146" s="158">
        <f>SUM( K147:K148)</f>
        <v>113.11212384</v>
      </c>
      <c r="L146" s="155"/>
      <c r="M146" s="52"/>
      <c r="P146" s="115">
        <v>900</v>
      </c>
    </row>
    <row r="147" spans="3:19" ht="12.75">
      <c r="C147" s="130"/>
      <c r="D147" s="107" t="s">
        <v>469</v>
      </c>
      <c r="E147" s="67" t="s">
        <v>167</v>
      </c>
      <c r="F147" s="68" t="s">
        <v>327</v>
      </c>
      <c r="G147" s="143">
        <f t="shared" si="1"/>
        <v>0</v>
      </c>
      <c r="H147" s="157"/>
      <c r="I147" s="157"/>
      <c r="J147" s="157"/>
      <c r="K147" s="157"/>
      <c r="L147" s="155"/>
      <c r="M147" s="52"/>
      <c r="P147" s="115"/>
    </row>
    <row r="148" spans="3:19" ht="12.75">
      <c r="C148" s="130"/>
      <c r="D148" s="107" t="s">
        <v>470</v>
      </c>
      <c r="E148" s="67" t="s">
        <v>507</v>
      </c>
      <c r="F148" s="68" t="s">
        <v>328</v>
      </c>
      <c r="G148" s="143">
        <f t="shared" si="1"/>
        <v>4300.6110114960002</v>
      </c>
      <c r="H148" s="158">
        <f>H149+H150</f>
        <v>2.3888217599999995</v>
      </c>
      <c r="I148" s="158">
        <f>I149+I150</f>
        <v>3904.6641974160002</v>
      </c>
      <c r="J148" s="158">
        <f>J149+J150</f>
        <v>280.44586848</v>
      </c>
      <c r="K148" s="158">
        <f>K149+K150</f>
        <v>113.11212384</v>
      </c>
      <c r="L148" s="155"/>
      <c r="M148" s="52"/>
      <c r="P148" s="115"/>
    </row>
    <row r="149" spans="3:19" ht="12.75">
      <c r="C149" s="130"/>
      <c r="D149" s="107" t="s">
        <v>471</v>
      </c>
      <c r="E149" s="69" t="s">
        <v>168</v>
      </c>
      <c r="F149" s="68" t="s">
        <v>331</v>
      </c>
      <c r="G149" s="143">
        <f t="shared" si="1"/>
        <v>3505.7952582960002</v>
      </c>
      <c r="H149" s="157"/>
      <c r="I149" s="157">
        <f>I127*51778.46/1000*1.2</f>
        <v>3505.7952582960002</v>
      </c>
      <c r="J149" s="157"/>
      <c r="K149" s="157"/>
      <c r="L149" s="155"/>
      <c r="M149" s="52"/>
      <c r="P149" s="115" t="s">
        <v>329</v>
      </c>
    </row>
    <row r="150" spans="3:19" ht="12.75">
      <c r="C150" s="130"/>
      <c r="D150" s="107" t="s">
        <v>472</v>
      </c>
      <c r="E150" s="69" t="s">
        <v>169</v>
      </c>
      <c r="F150" s="68" t="s">
        <v>332</v>
      </c>
      <c r="G150" s="143">
        <f t="shared" si="1"/>
        <v>794.8157531999999</v>
      </c>
      <c r="H150" s="157">
        <f>H128*81.8/1000*1.2</f>
        <v>2.3888217599999995</v>
      </c>
      <c r="I150" s="157">
        <f>I128*81.8/1000*1.2</f>
        <v>398.86893911999999</v>
      </c>
      <c r="J150" s="157">
        <f>J128*81.8/1000*1.2</f>
        <v>280.44586848</v>
      </c>
      <c r="K150" s="157">
        <f>K128*81.8/1000*1.2</f>
        <v>113.11212384</v>
      </c>
      <c r="L150" s="155"/>
      <c r="M150" s="52"/>
      <c r="P150" s="115" t="s">
        <v>330</v>
      </c>
    </row>
    <row r="151" spans="3:19">
      <c r="D151" s="135"/>
      <c r="E151" s="159"/>
      <c r="F151" s="159"/>
      <c r="G151" s="159"/>
      <c r="H151" s="159"/>
      <c r="I151" s="159"/>
      <c r="J151" s="159"/>
      <c r="K151" s="160"/>
      <c r="L151" s="160"/>
      <c r="M151" s="160"/>
      <c r="N151" s="160"/>
      <c r="O151" s="160"/>
      <c r="P151" s="160"/>
      <c r="Q151" s="160"/>
      <c r="R151" s="161"/>
      <c r="S151" s="161"/>
    </row>
    <row r="152" spans="3:19" ht="12.75">
      <c r="E152" s="52" t="s">
        <v>204</v>
      </c>
      <c r="F152" s="180" t="str">
        <f>IF([6]Титульный!G45="","",[6]Титульный!G45)</f>
        <v>ведущий экономист</v>
      </c>
      <c r="G152" s="180"/>
      <c r="H152" s="53"/>
      <c r="I152" s="180" t="str">
        <f>IF([6]Титульный!G44="","",[6]Титульный!G44)</f>
        <v>Кривнева Е.В.</v>
      </c>
      <c r="J152" s="180"/>
      <c r="K152" s="180"/>
      <c r="L152" s="53"/>
      <c r="M152" s="55"/>
      <c r="N152" s="55"/>
      <c r="O152" s="54"/>
      <c r="P152" s="160"/>
      <c r="Q152" s="160"/>
      <c r="R152" s="161"/>
      <c r="S152" s="161"/>
    </row>
    <row r="153" spans="3:19" ht="12.75">
      <c r="E153" s="56" t="s">
        <v>205</v>
      </c>
      <c r="F153" s="181" t="s">
        <v>176</v>
      </c>
      <c r="G153" s="181"/>
      <c r="H153" s="54"/>
      <c r="I153" s="181" t="s">
        <v>174</v>
      </c>
      <c r="J153" s="181"/>
      <c r="K153" s="181"/>
      <c r="L153" s="54"/>
      <c r="M153" s="181" t="s">
        <v>175</v>
      </c>
      <c r="N153" s="181"/>
      <c r="O153" s="52"/>
      <c r="P153" s="160"/>
      <c r="Q153" s="160"/>
      <c r="R153" s="161"/>
      <c r="S153" s="161"/>
    </row>
    <row r="154" spans="3:19" ht="12.75">
      <c r="E154" s="56" t="s">
        <v>206</v>
      </c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160"/>
      <c r="Q154" s="160"/>
      <c r="R154" s="161"/>
      <c r="S154" s="161"/>
    </row>
    <row r="155" spans="3:19" ht="12.75">
      <c r="E155" s="56" t="s">
        <v>207</v>
      </c>
      <c r="F155" s="180" t="str">
        <f>IF([6]Титульный!G46="","",[6]Титульный!G46)</f>
        <v>(861) 258-50-71</v>
      </c>
      <c r="G155" s="180"/>
      <c r="H155" s="180"/>
      <c r="I155" s="52"/>
      <c r="J155" s="56" t="s">
        <v>177</v>
      </c>
      <c r="K155" s="162"/>
      <c r="L155" s="52"/>
      <c r="M155" s="52"/>
      <c r="N155" s="52"/>
      <c r="O155" s="52"/>
      <c r="P155" s="160"/>
      <c r="Q155" s="160"/>
      <c r="R155" s="161"/>
      <c r="S155" s="161"/>
    </row>
    <row r="156" spans="3:19" ht="12.75">
      <c r="E156" s="52" t="s">
        <v>208</v>
      </c>
      <c r="F156" s="182" t="s">
        <v>178</v>
      </c>
      <c r="G156" s="182"/>
      <c r="H156" s="182"/>
      <c r="I156" s="52"/>
      <c r="J156" s="57" t="s">
        <v>179</v>
      </c>
      <c r="K156" s="57"/>
      <c r="L156" s="52"/>
      <c r="M156" s="52"/>
      <c r="N156" s="52"/>
      <c r="O156" s="52"/>
      <c r="P156" s="160"/>
      <c r="Q156" s="160"/>
      <c r="R156" s="161"/>
      <c r="S156" s="161"/>
    </row>
    <row r="157" spans="3:19"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1"/>
      <c r="S157" s="161"/>
    </row>
    <row r="158" spans="3:19"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1"/>
      <c r="S158" s="161"/>
    </row>
    <row r="159" spans="3:19"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1"/>
      <c r="S159" s="161"/>
    </row>
    <row r="160" spans="3:19"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1"/>
      <c r="S160" s="161"/>
    </row>
    <row r="161" spans="5:19"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1"/>
      <c r="S161" s="161"/>
    </row>
    <row r="162" spans="5:19"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1"/>
      <c r="S162" s="161"/>
    </row>
    <row r="163" spans="5:19"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1"/>
      <c r="S163" s="161"/>
    </row>
    <row r="164" spans="5:19"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1"/>
      <c r="S164" s="161"/>
    </row>
    <row r="165" spans="5:19">
      <c r="E165" s="160"/>
      <c r="F165" s="160"/>
      <c r="G165" s="160"/>
      <c r="H165" s="160"/>
      <c r="I165" s="160"/>
      <c r="J165" s="160"/>
      <c r="K165" s="160"/>
      <c r="L165" s="160"/>
      <c r="M165" s="160"/>
      <c r="N165" s="160"/>
      <c r="O165" s="160"/>
      <c r="P165" s="160"/>
      <c r="Q165" s="160"/>
      <c r="R165" s="161"/>
      <c r="S165" s="161"/>
    </row>
    <row r="166" spans="5:19">
      <c r="E166" s="160"/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1"/>
      <c r="S166" s="161"/>
    </row>
    <row r="167" spans="5:19"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1"/>
      <c r="S167" s="161"/>
    </row>
    <row r="168" spans="5:19"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1"/>
      <c r="S168" s="161"/>
    </row>
    <row r="169" spans="5:19"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1"/>
      <c r="S169" s="161"/>
    </row>
    <row r="170" spans="5:19"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1"/>
      <c r="S170" s="161"/>
    </row>
    <row r="171" spans="5:19"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1"/>
      <c r="S171" s="161"/>
    </row>
    <row r="172" spans="5:19"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1"/>
      <c r="S172" s="161"/>
    </row>
    <row r="173" spans="5:19"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1"/>
      <c r="S173" s="161"/>
    </row>
    <row r="174" spans="5:19"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1"/>
      <c r="S174" s="161"/>
    </row>
    <row r="175" spans="5:19"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1"/>
      <c r="S175" s="161"/>
    </row>
    <row r="176" spans="5:19"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1"/>
      <c r="S176" s="161"/>
    </row>
    <row r="177" spans="5:19"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1"/>
      <c r="S177" s="161"/>
    </row>
    <row r="178" spans="5:19"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1"/>
      <c r="S178" s="161"/>
    </row>
    <row r="179" spans="5:19"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1"/>
      <c r="S179" s="161"/>
    </row>
    <row r="180" spans="5:19"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1"/>
      <c r="S180" s="161"/>
    </row>
    <row r="181" spans="5:19"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1"/>
      <c r="S181" s="161"/>
    </row>
    <row r="182" spans="5:19"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</row>
    <row r="183" spans="5:19">
      <c r="E183" s="161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</row>
    <row r="184" spans="5:19"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</row>
    <row r="185" spans="5:19"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  <c r="P185" s="161"/>
      <c r="Q185" s="161"/>
      <c r="R185" s="161"/>
      <c r="S185" s="161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42 E25:E26 E81 E64:E65"/>
    <dataValidation type="decimal" allowBlank="1" showErrorMessage="1" errorTitle="Ошибка" error="Допускается ввод только действительных чисел!" sqref="G62:K65 G93:K95 G67:K81 G15:K18 G83:K91 G97:K128 G23:K26 G44:K52 G28:K42 G130:K150 G59:K60 G20:K21 G54:K57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CC185"/>
  <sheetViews>
    <sheetView topLeftCell="C118" workbookViewId="0">
      <selection activeCell="I19" sqref="I19"/>
    </sheetView>
  </sheetViews>
  <sheetFormatPr defaultRowHeight="11.25"/>
  <cols>
    <col min="1" max="2" width="9.140625" style="125" hidden="1" customWidth="1"/>
    <col min="3" max="3" width="4.140625" style="125" customWidth="1"/>
    <col min="4" max="4" width="9.140625" style="125" customWidth="1"/>
    <col min="5" max="5" width="69" style="125" customWidth="1"/>
    <col min="6" max="6" width="6.7109375" style="125" customWidth="1"/>
    <col min="7" max="11" width="15.7109375" style="125" customWidth="1"/>
    <col min="12" max="12" width="6.7109375" style="125" customWidth="1"/>
    <col min="13" max="16" width="15.7109375" style="125" customWidth="1"/>
    <col min="17" max="35" width="11.7109375" style="125" customWidth="1"/>
    <col min="36" max="16384" width="9.140625" style="125"/>
  </cols>
  <sheetData>
    <row r="1" spans="1:81" hidden="1">
      <c r="S1" s="126"/>
      <c r="T1" s="126"/>
      <c r="U1" s="126"/>
      <c r="V1" s="126"/>
      <c r="Y1" s="126"/>
      <c r="AA1" s="126"/>
      <c r="AN1" s="126"/>
      <c r="AO1" s="126"/>
      <c r="AP1" s="126"/>
      <c r="BC1" s="126"/>
      <c r="BF1" s="126"/>
      <c r="BG1" s="126"/>
      <c r="BI1" s="126"/>
      <c r="BM1" s="126"/>
      <c r="BO1" s="126"/>
      <c r="BX1" s="126"/>
      <c r="BY1" s="126"/>
      <c r="CC1" s="126"/>
    </row>
    <row r="2" spans="1:81" hidden="1"/>
    <row r="3" spans="1:81" hidden="1"/>
    <row r="4" spans="1:81" hidden="1">
      <c r="A4" s="127"/>
      <c r="F4" s="128"/>
      <c r="G4" s="128"/>
      <c r="H4" s="128"/>
      <c r="I4" s="128"/>
      <c r="J4" s="128"/>
      <c r="K4" s="128"/>
      <c r="M4" s="128"/>
      <c r="N4" s="128"/>
      <c r="O4" s="128"/>
      <c r="P4" s="128"/>
      <c r="Q4" s="128"/>
    </row>
    <row r="5" spans="1:81" hidden="1">
      <c r="A5" s="129"/>
      <c r="F5" s="125" t="s">
        <v>142</v>
      </c>
      <c r="G5" s="125" t="s">
        <v>143</v>
      </c>
      <c r="H5" s="125" t="s">
        <v>144</v>
      </c>
      <c r="I5" s="125" t="s">
        <v>145</v>
      </c>
      <c r="J5" s="125" t="s">
        <v>146</v>
      </c>
      <c r="K5" s="125" t="s">
        <v>147</v>
      </c>
      <c r="L5" s="125" t="s">
        <v>148</v>
      </c>
      <c r="M5" s="125" t="s">
        <v>149</v>
      </c>
      <c r="N5" s="125" t="s">
        <v>149</v>
      </c>
      <c r="O5" s="125" t="s">
        <v>150</v>
      </c>
      <c r="P5" s="125" t="s">
        <v>151</v>
      </c>
      <c r="Q5" s="125" t="s">
        <v>152</v>
      </c>
    </row>
    <row r="6" spans="1:81" hidden="1">
      <c r="A6" s="129"/>
    </row>
    <row r="7" spans="1:81" ht="12" customHeight="1">
      <c r="A7" s="129"/>
      <c r="D7" s="130"/>
      <c r="E7" s="130"/>
      <c r="F7" s="130"/>
      <c r="G7" s="130"/>
      <c r="H7" s="130"/>
      <c r="I7" s="130"/>
      <c r="J7" s="130"/>
      <c r="K7" s="131"/>
      <c r="Q7" s="132"/>
    </row>
    <row r="8" spans="1:81" ht="22.5" customHeight="1">
      <c r="A8" s="129"/>
      <c r="D8" s="183" t="s">
        <v>153</v>
      </c>
      <c r="E8" s="18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</row>
    <row r="9" spans="1:81">
      <c r="A9" s="129"/>
      <c r="D9" s="134" t="s">
        <v>119</v>
      </c>
      <c r="E9" s="134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</row>
    <row r="10" spans="1:81" ht="12" customHeight="1">
      <c r="D10" s="135"/>
      <c r="E10" s="135"/>
      <c r="F10" s="130"/>
      <c r="G10" s="130"/>
      <c r="H10" s="130"/>
      <c r="I10" s="130"/>
      <c r="K10" s="136" t="s">
        <v>132</v>
      </c>
    </row>
    <row r="11" spans="1:81" ht="15" customHeight="1">
      <c r="C11" s="130"/>
      <c r="D11" s="172" t="s">
        <v>140</v>
      </c>
      <c r="E11" s="185" t="s">
        <v>154</v>
      </c>
      <c r="F11" s="185" t="s">
        <v>133</v>
      </c>
      <c r="G11" s="185" t="s">
        <v>155</v>
      </c>
      <c r="H11" s="185" t="s">
        <v>156</v>
      </c>
      <c r="I11" s="185"/>
      <c r="J11" s="185"/>
      <c r="K11" s="187"/>
      <c r="L11" s="137"/>
    </row>
    <row r="12" spans="1:81" ht="15" customHeight="1">
      <c r="C12" s="130"/>
      <c r="D12" s="184"/>
      <c r="E12" s="186"/>
      <c r="F12" s="186"/>
      <c r="G12" s="186"/>
      <c r="H12" s="166" t="s">
        <v>134</v>
      </c>
      <c r="I12" s="166" t="s">
        <v>135</v>
      </c>
      <c r="J12" s="166" t="s">
        <v>136</v>
      </c>
      <c r="K12" s="139" t="s">
        <v>137</v>
      </c>
      <c r="L12" s="137"/>
    </row>
    <row r="13" spans="1:81" ht="12" customHeight="1">
      <c r="D13" s="25">
        <v>0</v>
      </c>
      <c r="E13" s="25">
        <v>1</v>
      </c>
      <c r="F13" s="25">
        <v>2</v>
      </c>
      <c r="G13" s="25">
        <v>3</v>
      </c>
      <c r="H13" s="25">
        <v>4</v>
      </c>
      <c r="I13" s="25">
        <v>5</v>
      </c>
      <c r="J13" s="25">
        <v>6</v>
      </c>
      <c r="K13" s="25">
        <v>7</v>
      </c>
    </row>
    <row r="14" spans="1:81" s="140" customFormat="1" ht="15" customHeight="1">
      <c r="C14" s="141"/>
      <c r="D14" s="174" t="s">
        <v>200</v>
      </c>
      <c r="E14" s="175"/>
      <c r="F14" s="175"/>
      <c r="G14" s="175"/>
      <c r="H14" s="175"/>
      <c r="I14" s="175"/>
      <c r="J14" s="175"/>
      <c r="K14" s="176"/>
      <c r="L14" s="142"/>
    </row>
    <row r="15" spans="1:81" s="140" customFormat="1" ht="15" customHeight="1">
      <c r="C15" s="141"/>
      <c r="D15" s="106" t="s">
        <v>370</v>
      </c>
      <c r="E15" s="88" t="s">
        <v>498</v>
      </c>
      <c r="F15" s="68">
        <v>10</v>
      </c>
      <c r="G15" s="143">
        <f>SUM(H15:K15)</f>
        <v>9375.0429999999997</v>
      </c>
      <c r="H15" s="143">
        <f>H16+H17+H20+H23</f>
        <v>1309.0889999999999</v>
      </c>
      <c r="I15" s="143">
        <f>I16+I17+I20+I23</f>
        <v>5681.1419999999998</v>
      </c>
      <c r="J15" s="143">
        <f>J16+J17+J20+J23</f>
        <v>2384.8119999999999</v>
      </c>
      <c r="K15" s="143">
        <f>K16+K17+K20+K23</f>
        <v>0</v>
      </c>
      <c r="L15" s="142"/>
      <c r="M15" s="52"/>
      <c r="P15" s="115">
        <v>10</v>
      </c>
    </row>
    <row r="16" spans="1:81" s="140" customFormat="1" ht="15" customHeight="1">
      <c r="C16" s="141"/>
      <c r="D16" s="106" t="s">
        <v>371</v>
      </c>
      <c r="E16" s="67" t="s">
        <v>210</v>
      </c>
      <c r="F16" s="68">
        <v>20</v>
      </c>
      <c r="G16" s="143">
        <f t="shared" ref="G16:G136" si="0">SUM(H16:K16)</f>
        <v>0</v>
      </c>
      <c r="H16" s="122"/>
      <c r="I16" s="122"/>
      <c r="J16" s="122"/>
      <c r="K16" s="122"/>
      <c r="L16" s="142"/>
      <c r="M16" s="52"/>
      <c r="P16" s="115">
        <v>20</v>
      </c>
    </row>
    <row r="17" spans="3:16" s="140" customFormat="1" ht="12.75">
      <c r="C17" s="141"/>
      <c r="D17" s="106" t="s">
        <v>372</v>
      </c>
      <c r="E17" s="67" t="s">
        <v>499</v>
      </c>
      <c r="F17" s="68">
        <v>30</v>
      </c>
      <c r="G17" s="143">
        <f t="shared" si="0"/>
        <v>0</v>
      </c>
      <c r="H17" s="143">
        <f>SUM(H18:H19)</f>
        <v>0</v>
      </c>
      <c r="I17" s="143">
        <f>SUM(I18:I19)</f>
        <v>0</v>
      </c>
      <c r="J17" s="143">
        <f>SUM(J18:J19)</f>
        <v>0</v>
      </c>
      <c r="K17" s="143">
        <f>SUM(K18:K19)</f>
        <v>0</v>
      </c>
      <c r="L17" s="142"/>
      <c r="M17" s="52"/>
      <c r="P17" s="115">
        <v>30</v>
      </c>
    </row>
    <row r="18" spans="3:16" s="140" customFormat="1" ht="12.75">
      <c r="C18" s="141"/>
      <c r="D18" s="113" t="s">
        <v>480</v>
      </c>
      <c r="E18" s="144"/>
      <c r="F18" s="84" t="s">
        <v>336</v>
      </c>
      <c r="G18" s="145"/>
      <c r="H18" s="145"/>
      <c r="I18" s="145"/>
      <c r="J18" s="145"/>
      <c r="K18" s="145"/>
      <c r="L18" s="142"/>
      <c r="M18" s="52"/>
      <c r="P18" s="115"/>
    </row>
    <row r="19" spans="3:16" s="140" customFormat="1" ht="12.75">
      <c r="C19" s="141"/>
      <c r="D19" s="108"/>
      <c r="E19" s="104" t="s">
        <v>334</v>
      </c>
      <c r="F19" s="73"/>
      <c r="G19" s="73"/>
      <c r="H19" s="73"/>
      <c r="I19" s="73"/>
      <c r="J19" s="73"/>
      <c r="K19" s="74"/>
      <c r="L19" s="142"/>
      <c r="M19" s="52"/>
      <c r="P19" s="116"/>
    </row>
    <row r="20" spans="3:16" s="140" customFormat="1" ht="12.75">
      <c r="C20" s="141"/>
      <c r="D20" s="106" t="s">
        <v>373</v>
      </c>
      <c r="E20" s="67" t="s">
        <v>500</v>
      </c>
      <c r="F20" s="68" t="s">
        <v>211</v>
      </c>
      <c r="G20" s="143">
        <f t="shared" si="0"/>
        <v>0</v>
      </c>
      <c r="H20" s="143">
        <f>SUM(H21:H22)</f>
        <v>0</v>
      </c>
      <c r="I20" s="143">
        <f>SUM(I21:I22)</f>
        <v>0</v>
      </c>
      <c r="J20" s="143">
        <f>SUM(J21:J22)</f>
        <v>0</v>
      </c>
      <c r="K20" s="143">
        <f>SUM(K21:K22)</f>
        <v>0</v>
      </c>
      <c r="L20" s="142"/>
      <c r="M20" s="52"/>
      <c r="P20" s="116"/>
    </row>
    <row r="21" spans="3:16" s="140" customFormat="1" ht="12.75">
      <c r="C21" s="141"/>
      <c r="D21" s="113" t="s">
        <v>481</v>
      </c>
      <c r="E21" s="144"/>
      <c r="F21" s="84" t="s">
        <v>211</v>
      </c>
      <c r="G21" s="145"/>
      <c r="H21" s="145"/>
      <c r="I21" s="145"/>
      <c r="J21" s="145"/>
      <c r="K21" s="145"/>
      <c r="L21" s="142"/>
      <c r="M21" s="52"/>
      <c r="P21" s="115"/>
    </row>
    <row r="22" spans="3:16" s="140" customFormat="1" ht="12.75">
      <c r="C22" s="141"/>
      <c r="D22" s="108"/>
      <c r="E22" s="104" t="s">
        <v>334</v>
      </c>
      <c r="F22" s="73"/>
      <c r="G22" s="73"/>
      <c r="H22" s="73"/>
      <c r="I22" s="73"/>
      <c r="J22" s="73"/>
      <c r="K22" s="74"/>
      <c r="L22" s="142"/>
      <c r="M22" s="52"/>
      <c r="P22" s="116"/>
    </row>
    <row r="23" spans="3:16" s="140" customFormat="1" ht="12.75">
      <c r="C23" s="141"/>
      <c r="D23" s="106" t="s">
        <v>374</v>
      </c>
      <c r="E23" s="67" t="s">
        <v>501</v>
      </c>
      <c r="F23" s="68" t="s">
        <v>212</v>
      </c>
      <c r="G23" s="143">
        <f t="shared" si="0"/>
        <v>9375.0429999999997</v>
      </c>
      <c r="H23" s="143">
        <f>SUM(H24:H27)</f>
        <v>1309.0889999999999</v>
      </c>
      <c r="I23" s="143">
        <f>SUM(I24:I27)</f>
        <v>5681.1419999999998</v>
      </c>
      <c r="J23" s="143">
        <f>SUM(J24:J27)</f>
        <v>2384.8119999999999</v>
      </c>
      <c r="K23" s="143">
        <f>SUM(K24:K27)</f>
        <v>0</v>
      </c>
      <c r="L23" s="142"/>
      <c r="M23" s="52"/>
      <c r="P23" s="115">
        <v>40</v>
      </c>
    </row>
    <row r="24" spans="3:16" s="140" customFormat="1" ht="12.75">
      <c r="C24" s="141"/>
      <c r="D24" s="113" t="s">
        <v>482</v>
      </c>
      <c r="E24" s="144"/>
      <c r="F24" s="84" t="s">
        <v>212</v>
      </c>
      <c r="G24" s="145"/>
      <c r="H24" s="145"/>
      <c r="I24" s="145"/>
      <c r="J24" s="145"/>
      <c r="K24" s="145"/>
      <c r="L24" s="142"/>
      <c r="M24" s="52"/>
      <c r="P24" s="115"/>
    </row>
    <row r="25" spans="3:16" s="140" customFormat="1" ht="14.25">
      <c r="C25" s="121" t="s">
        <v>0</v>
      </c>
      <c r="D25" s="146" t="s">
        <v>1874</v>
      </c>
      <c r="E25" s="82" t="s">
        <v>2047</v>
      </c>
      <c r="F25" s="79">
        <v>431</v>
      </c>
      <c r="G25" s="147">
        <f>SUM(H25:K25)</f>
        <v>7722.8909999999996</v>
      </c>
      <c r="H25" s="148">
        <v>1309.0889999999999</v>
      </c>
      <c r="I25" s="148">
        <v>5681.1419999999998</v>
      </c>
      <c r="J25" s="148">
        <v>732.66</v>
      </c>
      <c r="K25" s="149"/>
      <c r="L25" s="142"/>
      <c r="M25" s="85" t="s">
        <v>1842</v>
      </c>
      <c r="N25" s="86" t="s">
        <v>1438</v>
      </c>
      <c r="O25" s="86" t="s">
        <v>1841</v>
      </c>
    </row>
    <row r="26" spans="3:16" s="140" customFormat="1" ht="14.25">
      <c r="C26" s="121" t="s">
        <v>0</v>
      </c>
      <c r="D26" s="146" t="s">
        <v>2072</v>
      </c>
      <c r="E26" s="82" t="s">
        <v>1467</v>
      </c>
      <c r="F26" s="79">
        <v>432</v>
      </c>
      <c r="G26" s="147">
        <f>SUM(H26:K26)</f>
        <v>1652.152</v>
      </c>
      <c r="H26" s="148"/>
      <c r="I26" s="148"/>
      <c r="J26" s="148">
        <f>530.652+1121.5</f>
        <v>1652.152</v>
      </c>
      <c r="K26" s="149"/>
      <c r="L26" s="142"/>
      <c r="M26" s="85" t="s">
        <v>1468</v>
      </c>
      <c r="N26" s="86" t="s">
        <v>1438</v>
      </c>
      <c r="O26" s="86" t="s">
        <v>1466</v>
      </c>
    </row>
    <row r="27" spans="3:16" s="140" customFormat="1" ht="12.75">
      <c r="C27" s="141"/>
      <c r="D27" s="108"/>
      <c r="E27" s="104" t="s">
        <v>334</v>
      </c>
      <c r="F27" s="73"/>
      <c r="G27" s="73"/>
      <c r="H27" s="73"/>
      <c r="I27" s="73"/>
      <c r="J27" s="73"/>
      <c r="K27" s="74"/>
      <c r="L27" s="142"/>
      <c r="M27" s="52"/>
      <c r="P27" s="115"/>
    </row>
    <row r="28" spans="3:16" s="140" customFormat="1" ht="12.75">
      <c r="C28" s="141"/>
      <c r="D28" s="106" t="s">
        <v>375</v>
      </c>
      <c r="E28" s="88" t="s">
        <v>157</v>
      </c>
      <c r="F28" s="68" t="s">
        <v>213</v>
      </c>
      <c r="G28" s="143">
        <f t="shared" si="0"/>
        <v>4271.7529999999997</v>
      </c>
      <c r="H28" s="143">
        <f>H30+H31+H32</f>
        <v>0</v>
      </c>
      <c r="I28" s="143">
        <f>I29+I31+I32</f>
        <v>0</v>
      </c>
      <c r="J28" s="143">
        <f>J29+J30+J32</f>
        <v>2707.4359999999997</v>
      </c>
      <c r="K28" s="143">
        <f>K29+K30+K31</f>
        <v>1564.317</v>
      </c>
      <c r="L28" s="142"/>
      <c r="M28" s="52"/>
      <c r="P28" s="115">
        <v>50</v>
      </c>
    </row>
    <row r="29" spans="3:16" s="140" customFormat="1" ht="12.75">
      <c r="C29" s="141"/>
      <c r="D29" s="106" t="s">
        <v>376</v>
      </c>
      <c r="E29" s="67" t="s">
        <v>134</v>
      </c>
      <c r="F29" s="68" t="s">
        <v>214</v>
      </c>
      <c r="G29" s="143">
        <f t="shared" si="0"/>
        <v>1280.511</v>
      </c>
      <c r="H29" s="150"/>
      <c r="I29" s="122"/>
      <c r="J29" s="122">
        <f>H45</f>
        <v>1280.511</v>
      </c>
      <c r="K29" s="122"/>
      <c r="L29" s="142"/>
      <c r="M29" s="52"/>
      <c r="P29" s="115">
        <v>60</v>
      </c>
    </row>
    <row r="30" spans="3:16" s="140" customFormat="1" ht="12.75">
      <c r="C30" s="141"/>
      <c r="D30" s="106" t="s">
        <v>377</v>
      </c>
      <c r="E30" s="67" t="s">
        <v>135</v>
      </c>
      <c r="F30" s="68" t="s">
        <v>215</v>
      </c>
      <c r="G30" s="143">
        <f t="shared" si="0"/>
        <v>1426.9249999999995</v>
      </c>
      <c r="H30" s="122"/>
      <c r="I30" s="150"/>
      <c r="J30" s="122">
        <f>I25-I34-I48</f>
        <v>1426.9249999999995</v>
      </c>
      <c r="K30" s="122"/>
      <c r="L30" s="142"/>
      <c r="M30" s="52"/>
      <c r="P30" s="115">
        <v>70</v>
      </c>
    </row>
    <row r="31" spans="3:16" s="140" customFormat="1" ht="12.75">
      <c r="C31" s="141"/>
      <c r="D31" s="106" t="s">
        <v>378</v>
      </c>
      <c r="E31" s="67" t="s">
        <v>136</v>
      </c>
      <c r="F31" s="68" t="s">
        <v>216</v>
      </c>
      <c r="G31" s="143">
        <f t="shared" si="0"/>
        <v>1564.317</v>
      </c>
      <c r="H31" s="122"/>
      <c r="I31" s="122"/>
      <c r="J31" s="150"/>
      <c r="K31" s="122">
        <f>J23+J28+J17-J48-J34</f>
        <v>1564.317</v>
      </c>
      <c r="L31" s="142"/>
      <c r="M31" s="52"/>
      <c r="P31" s="115">
        <v>80</v>
      </c>
    </row>
    <row r="32" spans="3:16" s="140" customFormat="1" ht="12.75">
      <c r="C32" s="141"/>
      <c r="D32" s="106" t="s">
        <v>379</v>
      </c>
      <c r="E32" s="67" t="s">
        <v>158</v>
      </c>
      <c r="F32" s="68" t="s">
        <v>217</v>
      </c>
      <c r="G32" s="143">
        <f t="shared" si="0"/>
        <v>0</v>
      </c>
      <c r="H32" s="122"/>
      <c r="I32" s="122"/>
      <c r="J32" s="122"/>
      <c r="K32" s="150"/>
      <c r="L32" s="142"/>
      <c r="M32" s="52"/>
      <c r="P32" s="115">
        <v>90</v>
      </c>
    </row>
    <row r="33" spans="3:16" s="140" customFormat="1" ht="12.75">
      <c r="C33" s="141"/>
      <c r="D33" s="106" t="s">
        <v>380</v>
      </c>
      <c r="E33" s="89" t="s">
        <v>161</v>
      </c>
      <c r="F33" s="68" t="s">
        <v>218</v>
      </c>
      <c r="G33" s="143">
        <f t="shared" si="0"/>
        <v>0</v>
      </c>
      <c r="H33" s="122"/>
      <c r="I33" s="122"/>
      <c r="J33" s="122"/>
      <c r="K33" s="122"/>
      <c r="L33" s="142"/>
      <c r="M33" s="52"/>
      <c r="P33" s="115"/>
    </row>
    <row r="34" spans="3:16" s="140" customFormat="1" ht="12.75">
      <c r="C34" s="141"/>
      <c r="D34" s="106" t="s">
        <v>381</v>
      </c>
      <c r="E34" s="88" t="s">
        <v>502</v>
      </c>
      <c r="F34" s="109" t="s">
        <v>219</v>
      </c>
      <c r="G34" s="143">
        <f t="shared" si="0"/>
        <v>9050.4959999999992</v>
      </c>
      <c r="H34" s="143">
        <f>H35+H37+H40+H44</f>
        <v>0</v>
      </c>
      <c r="I34" s="143">
        <f>I35+I37+I40+I44</f>
        <v>4251.5860000000002</v>
      </c>
      <c r="J34" s="143">
        <f>J35+J37+J40+J44</f>
        <v>3240.1289999999999</v>
      </c>
      <c r="K34" s="143">
        <f>K35+K37+K40+K44</f>
        <v>1558.7809999999999</v>
      </c>
      <c r="L34" s="142"/>
      <c r="M34" s="52"/>
      <c r="P34" s="115">
        <v>100</v>
      </c>
    </row>
    <row r="35" spans="3:16" s="140" customFormat="1" ht="22.5">
      <c r="C35" s="141"/>
      <c r="D35" s="106" t="s">
        <v>382</v>
      </c>
      <c r="E35" s="67" t="s">
        <v>503</v>
      </c>
      <c r="F35" s="68" t="s">
        <v>220</v>
      </c>
      <c r="G35" s="143">
        <f t="shared" si="0"/>
        <v>0</v>
      </c>
      <c r="H35" s="122"/>
      <c r="I35" s="122"/>
      <c r="J35" s="122"/>
      <c r="K35" s="122"/>
      <c r="L35" s="142"/>
      <c r="M35" s="52"/>
      <c r="P35" s="115"/>
    </row>
    <row r="36" spans="3:16" s="140" customFormat="1" ht="12.75">
      <c r="C36" s="141"/>
      <c r="D36" s="106" t="s">
        <v>486</v>
      </c>
      <c r="E36" s="69" t="s">
        <v>476</v>
      </c>
      <c r="F36" s="68" t="s">
        <v>223</v>
      </c>
      <c r="G36" s="143">
        <f t="shared" si="0"/>
        <v>0</v>
      </c>
      <c r="H36" s="122"/>
      <c r="I36" s="122"/>
      <c r="J36" s="122"/>
      <c r="K36" s="122"/>
      <c r="L36" s="142"/>
      <c r="M36" s="52"/>
      <c r="P36" s="115"/>
    </row>
    <row r="37" spans="3:16" s="140" customFormat="1" ht="12.75">
      <c r="C37" s="141"/>
      <c r="D37" s="106" t="s">
        <v>383</v>
      </c>
      <c r="E37" s="67" t="s">
        <v>221</v>
      </c>
      <c r="F37" s="68" t="s">
        <v>224</v>
      </c>
      <c r="G37" s="143">
        <f t="shared" si="0"/>
        <v>5556.9380000000001</v>
      </c>
      <c r="H37" s="122">
        <v>0</v>
      </c>
      <c r="I37" s="122">
        <f>4251.586-I42</f>
        <v>758.02800000000025</v>
      </c>
      <c r="J37" s="122">
        <f>2163.436+1076.693</f>
        <v>3240.1289999999999</v>
      </c>
      <c r="K37" s="122">
        <v>1558.7809999999999</v>
      </c>
      <c r="L37" s="142"/>
      <c r="M37" s="52"/>
      <c r="P37" s="115"/>
    </row>
    <row r="38" spans="3:16" s="140" customFormat="1" ht="12.75">
      <c r="C38" s="141"/>
      <c r="D38" s="106" t="s">
        <v>487</v>
      </c>
      <c r="E38" s="69" t="s">
        <v>504</v>
      </c>
      <c r="F38" s="68" t="s">
        <v>225</v>
      </c>
      <c r="G38" s="143">
        <f t="shared" si="0"/>
        <v>0</v>
      </c>
      <c r="H38" s="122"/>
      <c r="I38" s="122"/>
      <c r="J38" s="122"/>
      <c r="K38" s="122"/>
      <c r="L38" s="142"/>
      <c r="M38" s="52"/>
      <c r="P38" s="115"/>
    </row>
    <row r="39" spans="3:16" s="140" customFormat="1" ht="12.75">
      <c r="C39" s="141"/>
      <c r="D39" s="106" t="s">
        <v>488</v>
      </c>
      <c r="E39" s="71" t="s">
        <v>476</v>
      </c>
      <c r="F39" s="68" t="s">
        <v>226</v>
      </c>
      <c r="G39" s="143">
        <f t="shared" si="0"/>
        <v>0</v>
      </c>
      <c r="H39" s="122"/>
      <c r="I39" s="122"/>
      <c r="J39" s="122"/>
      <c r="K39" s="122"/>
      <c r="L39" s="142"/>
      <c r="M39" s="52"/>
      <c r="P39" s="115"/>
    </row>
    <row r="40" spans="3:16" s="140" customFormat="1" ht="12.75">
      <c r="C40" s="141"/>
      <c r="D40" s="106" t="s">
        <v>384</v>
      </c>
      <c r="E40" s="67" t="s">
        <v>505</v>
      </c>
      <c r="F40" s="68" t="s">
        <v>227</v>
      </c>
      <c r="G40" s="143">
        <f t="shared" si="0"/>
        <v>3493.558</v>
      </c>
      <c r="H40" s="143">
        <f>SUM(H41:H43)</f>
        <v>0</v>
      </c>
      <c r="I40" s="143">
        <f>SUM(I41:I43)</f>
        <v>3493.558</v>
      </c>
      <c r="J40" s="143">
        <f>SUM(J41:J43)</f>
        <v>0</v>
      </c>
      <c r="K40" s="143">
        <f>SUM(K41:K43)</f>
        <v>0</v>
      </c>
      <c r="L40" s="142"/>
      <c r="M40" s="52"/>
      <c r="P40" s="115"/>
    </row>
    <row r="41" spans="3:16" s="140" customFormat="1" ht="12.75">
      <c r="C41" s="141"/>
      <c r="D41" s="113" t="s">
        <v>496</v>
      </c>
      <c r="E41" s="144"/>
      <c r="F41" s="84" t="s">
        <v>227</v>
      </c>
      <c r="G41" s="145"/>
      <c r="H41" s="145"/>
      <c r="I41" s="145"/>
      <c r="J41" s="145"/>
      <c r="K41" s="145"/>
      <c r="L41" s="142"/>
      <c r="M41" s="52"/>
      <c r="P41" s="115"/>
    </row>
    <row r="42" spans="3:16" s="140" customFormat="1" ht="14.25">
      <c r="C42" s="121" t="s">
        <v>0</v>
      </c>
      <c r="D42" s="146" t="s">
        <v>1875</v>
      </c>
      <c r="E42" s="82" t="s">
        <v>1467</v>
      </c>
      <c r="F42" s="79">
        <v>751</v>
      </c>
      <c r="G42" s="147">
        <f>SUM(H42:K42)</f>
        <v>3493.558</v>
      </c>
      <c r="H42" s="148"/>
      <c r="I42" s="148">
        <v>3493.558</v>
      </c>
      <c r="J42" s="148"/>
      <c r="K42" s="149"/>
      <c r="L42" s="142"/>
      <c r="M42" s="85" t="s">
        <v>1468</v>
      </c>
      <c r="N42" s="86" t="s">
        <v>1451</v>
      </c>
      <c r="O42" s="86" t="s">
        <v>1466</v>
      </c>
    </row>
    <row r="43" spans="3:16" s="140" customFormat="1" ht="12.75">
      <c r="C43" s="141"/>
      <c r="D43" s="76"/>
      <c r="E43" s="104" t="s">
        <v>334</v>
      </c>
      <c r="F43" s="73"/>
      <c r="G43" s="73"/>
      <c r="H43" s="73"/>
      <c r="I43" s="73"/>
      <c r="J43" s="73"/>
      <c r="K43" s="74"/>
      <c r="L43" s="142"/>
      <c r="M43" s="52"/>
      <c r="P43" s="115"/>
    </row>
    <row r="44" spans="3:16" s="140" customFormat="1" ht="12.75">
      <c r="C44" s="141"/>
      <c r="D44" s="106" t="s">
        <v>385</v>
      </c>
      <c r="E44" s="105" t="s">
        <v>477</v>
      </c>
      <c r="F44" s="68" t="s">
        <v>228</v>
      </c>
      <c r="G44" s="143">
        <f t="shared" si="0"/>
        <v>0</v>
      </c>
      <c r="H44" s="122"/>
      <c r="I44" s="122"/>
      <c r="J44" s="122"/>
      <c r="K44" s="122"/>
      <c r="L44" s="142"/>
      <c r="M44" s="52"/>
      <c r="P44" s="115">
        <v>120</v>
      </c>
    </row>
    <row r="45" spans="3:16" s="140" customFormat="1" ht="12.75">
      <c r="C45" s="141"/>
      <c r="D45" s="106" t="s">
        <v>386</v>
      </c>
      <c r="E45" s="88" t="s">
        <v>159</v>
      </c>
      <c r="F45" s="68" t="s">
        <v>229</v>
      </c>
      <c r="G45" s="143">
        <f t="shared" si="0"/>
        <v>4271.7529999999988</v>
      </c>
      <c r="H45" s="122">
        <f>H25-H48-H34</f>
        <v>1280.511</v>
      </c>
      <c r="I45" s="122">
        <f>I15-I34-I48</f>
        <v>1426.9249999999995</v>
      </c>
      <c r="J45" s="122">
        <f>J23+J28+J17-J34-J48</f>
        <v>1564.3169999999996</v>
      </c>
      <c r="K45" s="122">
        <f>K31-K34-K48</f>
        <v>5.8619775700208265E-14</v>
      </c>
      <c r="L45" s="142"/>
      <c r="M45" s="52"/>
      <c r="P45" s="115">
        <v>150</v>
      </c>
    </row>
    <row r="46" spans="3:16" s="140" customFormat="1" ht="12.75">
      <c r="C46" s="141"/>
      <c r="D46" s="106" t="s">
        <v>387</v>
      </c>
      <c r="E46" s="88" t="s">
        <v>160</v>
      </c>
      <c r="F46" s="68" t="s">
        <v>230</v>
      </c>
      <c r="G46" s="143">
        <f t="shared" si="0"/>
        <v>0</v>
      </c>
      <c r="H46" s="122"/>
      <c r="I46" s="122"/>
      <c r="J46" s="122"/>
      <c r="K46" s="122"/>
      <c r="L46" s="142"/>
      <c r="M46" s="52"/>
      <c r="P46" s="115">
        <v>160</v>
      </c>
    </row>
    <row r="47" spans="3:16" s="140" customFormat="1" ht="12.75">
      <c r="C47" s="141"/>
      <c r="D47" s="106" t="s">
        <v>388</v>
      </c>
      <c r="E47" s="88" t="s">
        <v>162</v>
      </c>
      <c r="F47" s="68" t="s">
        <v>231</v>
      </c>
      <c r="G47" s="143">
        <f t="shared" si="0"/>
        <v>0</v>
      </c>
      <c r="H47" s="122"/>
      <c r="I47" s="122"/>
      <c r="J47" s="122"/>
      <c r="K47" s="122"/>
      <c r="L47" s="142"/>
      <c r="M47" s="52"/>
      <c r="P47" s="115">
        <v>180</v>
      </c>
    </row>
    <row r="48" spans="3:16" s="140" customFormat="1" ht="12.75">
      <c r="C48" s="141"/>
      <c r="D48" s="106" t="s">
        <v>389</v>
      </c>
      <c r="E48" s="88" t="s">
        <v>473</v>
      </c>
      <c r="F48" s="68" t="s">
        <v>232</v>
      </c>
      <c r="G48" s="143">
        <f t="shared" si="0"/>
        <v>324.54700000000003</v>
      </c>
      <c r="H48" s="122">
        <v>28.577999999999999</v>
      </c>
      <c r="I48" s="122">
        <v>2.6309999999999998</v>
      </c>
      <c r="J48" s="122">
        <f>242.995+44.807</f>
        <v>287.80200000000002</v>
      </c>
      <c r="K48" s="122">
        <v>5.5359999999999996</v>
      </c>
      <c r="L48" s="142"/>
      <c r="M48" s="52"/>
      <c r="P48" s="115">
        <v>190</v>
      </c>
    </row>
    <row r="49" spans="3:16" s="140" customFormat="1" ht="12.75">
      <c r="C49" s="141"/>
      <c r="D49" s="106" t="s">
        <v>390</v>
      </c>
      <c r="E49" s="67" t="s">
        <v>474</v>
      </c>
      <c r="F49" s="68" t="s">
        <v>234</v>
      </c>
      <c r="G49" s="143">
        <f t="shared" si="0"/>
        <v>0</v>
      </c>
      <c r="H49" s="122"/>
      <c r="I49" s="122"/>
      <c r="J49" s="122"/>
      <c r="K49" s="122"/>
      <c r="L49" s="142"/>
      <c r="M49" s="52"/>
      <c r="P49" s="115">
        <v>200</v>
      </c>
    </row>
    <row r="50" spans="3:16" s="140" customFormat="1" ht="22.5">
      <c r="C50" s="141"/>
      <c r="D50" s="106" t="s">
        <v>475</v>
      </c>
      <c r="E50" s="88" t="s">
        <v>417</v>
      </c>
      <c r="F50" s="68" t="s">
        <v>235</v>
      </c>
      <c r="G50" s="143">
        <f t="shared" si="0"/>
        <v>154.52699999999999</v>
      </c>
      <c r="H50" s="122"/>
      <c r="I50" s="122">
        <f>154.527*0.25776</f>
        <v>39.830879519999996</v>
      </c>
      <c r="J50" s="122">
        <f>154.527*0.37244</f>
        <v>57.552035879999991</v>
      </c>
      <c r="K50" s="122">
        <f>154.527*0.3698</f>
        <v>57.144084599999999</v>
      </c>
      <c r="L50" s="142"/>
      <c r="M50" s="52"/>
      <c r="P50" s="116"/>
    </row>
    <row r="51" spans="3:16" s="140" customFormat="1" ht="33.75">
      <c r="C51" s="141"/>
      <c r="D51" s="106" t="s">
        <v>391</v>
      </c>
      <c r="E51" s="89" t="s">
        <v>236</v>
      </c>
      <c r="F51" s="68" t="s">
        <v>237</v>
      </c>
      <c r="G51" s="143">
        <f t="shared" si="0"/>
        <v>170.02000000000004</v>
      </c>
      <c r="H51" s="143">
        <f>H48-H50</f>
        <v>28.577999999999999</v>
      </c>
      <c r="I51" s="143">
        <f>I48-I50</f>
        <v>-37.199879519999996</v>
      </c>
      <c r="J51" s="143">
        <f>J48-J50</f>
        <v>230.24996412000002</v>
      </c>
      <c r="K51" s="143">
        <f>K48-K50</f>
        <v>-51.608084599999998</v>
      </c>
      <c r="L51" s="142"/>
      <c r="M51" s="52"/>
      <c r="P51" s="116"/>
    </row>
    <row r="52" spans="3:16" s="140" customFormat="1" ht="12.75">
      <c r="C52" s="141"/>
      <c r="D52" s="106" t="s">
        <v>392</v>
      </c>
      <c r="E52" s="88" t="s">
        <v>163</v>
      </c>
      <c r="F52" s="68" t="s">
        <v>238</v>
      </c>
      <c r="G52" s="143">
        <f t="shared" si="0"/>
        <v>0</v>
      </c>
      <c r="H52" s="143">
        <f>(H15+H28+H33)-(H34+H45+H46+H47+H48)</f>
        <v>0</v>
      </c>
      <c r="I52" s="143">
        <f>(I15+I28+I33)-(I34+I45+I46+I47+I48)</f>
        <v>0</v>
      </c>
      <c r="J52" s="143">
        <f>(J15+J28+J33)-(J34+J45+J46+J47+J48)</f>
        <v>0</v>
      </c>
      <c r="K52" s="143">
        <f>(K15+K28+K33)-(K34+K45+K46+K47+K48)</f>
        <v>0</v>
      </c>
      <c r="L52" s="142"/>
      <c r="M52" s="52"/>
      <c r="P52" s="115">
        <v>210</v>
      </c>
    </row>
    <row r="53" spans="3:16" s="140" customFormat="1" ht="12.75">
      <c r="C53" s="141"/>
      <c r="D53" s="174" t="s">
        <v>201</v>
      </c>
      <c r="E53" s="175"/>
      <c r="F53" s="175"/>
      <c r="G53" s="175"/>
      <c r="H53" s="175"/>
      <c r="I53" s="175"/>
      <c r="J53" s="175"/>
      <c r="K53" s="176"/>
      <c r="L53" s="142"/>
      <c r="M53" s="52"/>
      <c r="P53" s="116"/>
    </row>
    <row r="54" spans="3:16" s="140" customFormat="1" ht="12.75">
      <c r="C54" s="141"/>
      <c r="D54" s="106" t="s">
        <v>393</v>
      </c>
      <c r="E54" s="88" t="s">
        <v>498</v>
      </c>
      <c r="F54" s="68" t="s">
        <v>239</v>
      </c>
      <c r="G54" s="143">
        <f t="shared" si="0"/>
        <v>12.600864247311829</v>
      </c>
      <c r="H54" s="143">
        <f>H55+H56+H59+H62</f>
        <v>1.7595282258064515</v>
      </c>
      <c r="I54" s="143">
        <f>I55+I56+I59+I62</f>
        <v>7.6359435483870968</v>
      </c>
      <c r="J54" s="143">
        <f>J55+J56+J59+J62</f>
        <v>3.2053924731182799</v>
      </c>
      <c r="K54" s="143">
        <f>K55+K56+K59+K62</f>
        <v>0</v>
      </c>
      <c r="L54" s="142"/>
      <c r="M54" s="52"/>
      <c r="P54" s="115">
        <v>300</v>
      </c>
    </row>
    <row r="55" spans="3:16" s="140" customFormat="1" ht="12.75">
      <c r="C55" s="141"/>
      <c r="D55" s="106" t="s">
        <v>394</v>
      </c>
      <c r="E55" s="67" t="s">
        <v>210</v>
      </c>
      <c r="F55" s="68" t="s">
        <v>240</v>
      </c>
      <c r="G55" s="143">
        <f t="shared" si="0"/>
        <v>0</v>
      </c>
      <c r="H55" s="122"/>
      <c r="I55" s="122"/>
      <c r="J55" s="122"/>
      <c r="K55" s="122"/>
      <c r="L55" s="142"/>
      <c r="M55" s="52"/>
      <c r="P55" s="115">
        <v>310</v>
      </c>
    </row>
    <row r="56" spans="3:16" s="140" customFormat="1" ht="12.75">
      <c r="C56" s="141"/>
      <c r="D56" s="106" t="s">
        <v>395</v>
      </c>
      <c r="E56" s="67" t="s">
        <v>499</v>
      </c>
      <c r="F56" s="68" t="s">
        <v>241</v>
      </c>
      <c r="G56" s="143">
        <f t="shared" si="0"/>
        <v>0</v>
      </c>
      <c r="H56" s="143">
        <f>SUM(H57:H58)</f>
        <v>0</v>
      </c>
      <c r="I56" s="143">
        <f>SUM(I57:I58)</f>
        <v>0</v>
      </c>
      <c r="J56" s="143">
        <f>SUM(J57:J58)</f>
        <v>0</v>
      </c>
      <c r="K56" s="143">
        <f>SUM(K57:K58)</f>
        <v>0</v>
      </c>
      <c r="L56" s="142"/>
      <c r="M56" s="52"/>
      <c r="P56" s="115">
        <v>320</v>
      </c>
    </row>
    <row r="57" spans="3:16" s="140" customFormat="1" ht="12.75">
      <c r="C57" s="141"/>
      <c r="D57" s="113" t="s">
        <v>483</v>
      </c>
      <c r="E57" s="144"/>
      <c r="F57" s="84" t="s">
        <v>241</v>
      </c>
      <c r="G57" s="145"/>
      <c r="H57" s="145"/>
      <c r="I57" s="145"/>
      <c r="J57" s="145"/>
      <c r="K57" s="145"/>
      <c r="L57" s="142"/>
      <c r="M57" s="52"/>
      <c r="P57" s="115"/>
    </row>
    <row r="58" spans="3:16" s="140" customFormat="1" ht="12.75">
      <c r="C58" s="141"/>
      <c r="D58" s="108"/>
      <c r="E58" s="104" t="s">
        <v>334</v>
      </c>
      <c r="F58" s="73"/>
      <c r="G58" s="73"/>
      <c r="H58" s="73"/>
      <c r="I58" s="73"/>
      <c r="J58" s="73"/>
      <c r="K58" s="74"/>
      <c r="L58" s="142"/>
      <c r="M58" s="52"/>
      <c r="P58" s="115"/>
    </row>
    <row r="59" spans="3:16" s="140" customFormat="1" ht="12.75">
      <c r="C59" s="141"/>
      <c r="D59" s="106" t="s">
        <v>396</v>
      </c>
      <c r="E59" s="67" t="s">
        <v>500</v>
      </c>
      <c r="F59" s="68" t="s">
        <v>242</v>
      </c>
      <c r="G59" s="143">
        <f t="shared" si="0"/>
        <v>0</v>
      </c>
      <c r="H59" s="143">
        <f>SUM(H60:H61)</f>
        <v>0</v>
      </c>
      <c r="I59" s="143">
        <f>SUM(I60:I61)</f>
        <v>0</v>
      </c>
      <c r="J59" s="143">
        <f>SUM(J60:J61)</f>
        <v>0</v>
      </c>
      <c r="K59" s="143">
        <f>SUM(K60:K61)</f>
        <v>0</v>
      </c>
      <c r="L59" s="142"/>
      <c r="M59" s="52"/>
      <c r="P59" s="115"/>
    </row>
    <row r="60" spans="3:16" s="140" customFormat="1" ht="12.75">
      <c r="C60" s="141"/>
      <c r="D60" s="113" t="s">
        <v>484</v>
      </c>
      <c r="E60" s="144"/>
      <c r="F60" s="84" t="s">
        <v>242</v>
      </c>
      <c r="G60" s="145"/>
      <c r="H60" s="145"/>
      <c r="I60" s="145"/>
      <c r="J60" s="145"/>
      <c r="K60" s="145"/>
      <c r="L60" s="142"/>
      <c r="M60" s="52"/>
      <c r="P60" s="115"/>
    </row>
    <row r="61" spans="3:16" s="140" customFormat="1" ht="12.75">
      <c r="C61" s="141"/>
      <c r="D61" s="108"/>
      <c r="E61" s="104" t="s">
        <v>334</v>
      </c>
      <c r="F61" s="73"/>
      <c r="G61" s="73"/>
      <c r="H61" s="73"/>
      <c r="I61" s="73"/>
      <c r="J61" s="73"/>
      <c r="K61" s="74"/>
      <c r="L61" s="142"/>
      <c r="M61" s="52"/>
      <c r="P61" s="115"/>
    </row>
    <row r="62" spans="3:16" s="140" customFormat="1" ht="12.75">
      <c r="C62" s="141"/>
      <c r="D62" s="106" t="s">
        <v>397</v>
      </c>
      <c r="E62" s="67" t="s">
        <v>501</v>
      </c>
      <c r="F62" s="68" t="s">
        <v>243</v>
      </c>
      <c r="G62" s="143">
        <f t="shared" si="0"/>
        <v>12.600864247311829</v>
      </c>
      <c r="H62" s="143">
        <f>SUM(H63:H66)</f>
        <v>1.7595282258064515</v>
      </c>
      <c r="I62" s="143">
        <f>SUM(I63:I66)</f>
        <v>7.6359435483870968</v>
      </c>
      <c r="J62" s="143">
        <f>SUM(J63:J66)</f>
        <v>3.2053924731182799</v>
      </c>
      <c r="K62" s="143">
        <f>SUM(K63:K66)</f>
        <v>0</v>
      </c>
      <c r="L62" s="142"/>
      <c r="M62" s="52"/>
      <c r="P62" s="115">
        <v>330</v>
      </c>
    </row>
    <row r="63" spans="3:16" s="140" customFormat="1" ht="12.75">
      <c r="C63" s="141"/>
      <c r="D63" s="113" t="s">
        <v>485</v>
      </c>
      <c r="E63" s="144"/>
      <c r="F63" s="84" t="s">
        <v>243</v>
      </c>
      <c r="G63" s="145"/>
      <c r="H63" s="145"/>
      <c r="I63" s="145"/>
      <c r="J63" s="145"/>
      <c r="K63" s="145"/>
      <c r="L63" s="142"/>
      <c r="M63" s="52"/>
      <c r="P63" s="115"/>
    </row>
    <row r="64" spans="3:16" s="140" customFormat="1" ht="14.25">
      <c r="C64" s="121" t="s">
        <v>0</v>
      </c>
      <c r="D64" s="146" t="s">
        <v>1876</v>
      </c>
      <c r="E64" s="82" t="s">
        <v>2047</v>
      </c>
      <c r="F64" s="79">
        <v>1461</v>
      </c>
      <c r="G64" s="147">
        <f>SUM(H64:K64)</f>
        <v>10.380229838709678</v>
      </c>
      <c r="H64" s="148">
        <f>H25/744</f>
        <v>1.7595282258064515</v>
      </c>
      <c r="I64" s="148">
        <f>I25/744</f>
        <v>7.6359435483870968</v>
      </c>
      <c r="J64" s="148">
        <f>J25/744</f>
        <v>0.98475806451612902</v>
      </c>
      <c r="K64" s="148"/>
      <c r="L64" s="142"/>
      <c r="M64" s="85" t="s">
        <v>1842</v>
      </c>
      <c r="N64" s="86" t="s">
        <v>1438</v>
      </c>
      <c r="O64" s="86" t="s">
        <v>1841</v>
      </c>
    </row>
    <row r="65" spans="3:16" s="140" customFormat="1" ht="14.25">
      <c r="C65" s="121" t="s">
        <v>0</v>
      </c>
      <c r="D65" s="146" t="s">
        <v>2073</v>
      </c>
      <c r="E65" s="82" t="s">
        <v>1467</v>
      </c>
      <c r="F65" s="79">
        <v>1462</v>
      </c>
      <c r="G65" s="147">
        <f>SUM(H65:K65)</f>
        <v>2.2206344086021508</v>
      </c>
      <c r="H65" s="148"/>
      <c r="I65" s="148"/>
      <c r="J65" s="148">
        <f>J26/744</f>
        <v>2.2206344086021508</v>
      </c>
      <c r="K65" s="149"/>
      <c r="L65" s="142"/>
      <c r="M65" s="85" t="s">
        <v>1468</v>
      </c>
      <c r="N65" s="86" t="s">
        <v>1438</v>
      </c>
      <c r="O65" s="86" t="s">
        <v>1466</v>
      </c>
    </row>
    <row r="66" spans="3:16" s="140" customFormat="1" ht="12.75">
      <c r="C66" s="141"/>
      <c r="D66" s="108"/>
      <c r="E66" s="104" t="s">
        <v>334</v>
      </c>
      <c r="F66" s="73"/>
      <c r="G66" s="73"/>
      <c r="H66" s="73"/>
      <c r="I66" s="73"/>
      <c r="J66" s="73"/>
      <c r="K66" s="74"/>
      <c r="L66" s="142"/>
      <c r="M66" s="52"/>
      <c r="P66" s="115"/>
    </row>
    <row r="67" spans="3:16" s="140" customFormat="1" ht="12.75">
      <c r="C67" s="141"/>
      <c r="D67" s="106" t="s">
        <v>398</v>
      </c>
      <c r="E67" s="88" t="s">
        <v>157</v>
      </c>
      <c r="F67" s="68" t="s">
        <v>244</v>
      </c>
      <c r="G67" s="143">
        <f t="shared" si="0"/>
        <v>5.7416034946236554</v>
      </c>
      <c r="H67" s="143">
        <f>H69+H70+H71</f>
        <v>0</v>
      </c>
      <c r="I67" s="143">
        <f>I68+I70+I71</f>
        <v>0</v>
      </c>
      <c r="J67" s="143">
        <f>J68+J69+J71</f>
        <v>3.6390268817204294</v>
      </c>
      <c r="K67" s="143">
        <f>K68+K69+K70</f>
        <v>2.1025766129032259</v>
      </c>
      <c r="L67" s="142"/>
      <c r="M67" s="52"/>
      <c r="P67" s="115">
        <v>340</v>
      </c>
    </row>
    <row r="68" spans="3:16" s="140" customFormat="1" ht="12.75">
      <c r="C68" s="141"/>
      <c r="D68" s="106" t="s">
        <v>399</v>
      </c>
      <c r="E68" s="67" t="s">
        <v>134</v>
      </c>
      <c r="F68" s="68" t="s">
        <v>245</v>
      </c>
      <c r="G68" s="143">
        <f t="shared" si="0"/>
        <v>1.7211169354838709</v>
      </c>
      <c r="H68" s="150"/>
      <c r="I68" s="122"/>
      <c r="J68" s="122">
        <f>J29/744</f>
        <v>1.7211169354838709</v>
      </c>
      <c r="K68" s="122"/>
      <c r="L68" s="142"/>
      <c r="M68" s="52"/>
      <c r="P68" s="115">
        <v>350</v>
      </c>
    </row>
    <row r="69" spans="3:16" s="140" customFormat="1" ht="12.75">
      <c r="C69" s="141"/>
      <c r="D69" s="106" t="s">
        <v>400</v>
      </c>
      <c r="E69" s="67" t="s">
        <v>135</v>
      </c>
      <c r="F69" s="68" t="s">
        <v>246</v>
      </c>
      <c r="G69" s="143">
        <f t="shared" si="0"/>
        <v>1.9179099462365585</v>
      </c>
      <c r="H69" s="122"/>
      <c r="I69" s="151"/>
      <c r="J69" s="122">
        <f>J30/744</f>
        <v>1.9179099462365585</v>
      </c>
      <c r="K69" s="122"/>
      <c r="L69" s="142"/>
      <c r="M69" s="52"/>
      <c r="P69" s="115">
        <v>360</v>
      </c>
    </row>
    <row r="70" spans="3:16" s="140" customFormat="1" ht="12.75">
      <c r="C70" s="141"/>
      <c r="D70" s="106" t="s">
        <v>401</v>
      </c>
      <c r="E70" s="67" t="s">
        <v>136</v>
      </c>
      <c r="F70" s="68" t="s">
        <v>247</v>
      </c>
      <c r="G70" s="143">
        <f t="shared" si="0"/>
        <v>2.1025766129032259</v>
      </c>
      <c r="H70" s="122"/>
      <c r="I70" s="122"/>
      <c r="J70" s="150"/>
      <c r="K70" s="122">
        <f>K31/744</f>
        <v>2.1025766129032259</v>
      </c>
      <c r="L70" s="142"/>
      <c r="M70" s="52"/>
      <c r="P70" s="115">
        <v>370</v>
      </c>
    </row>
    <row r="71" spans="3:16" s="140" customFormat="1" ht="12.75">
      <c r="C71" s="141"/>
      <c r="D71" s="106" t="s">
        <v>402</v>
      </c>
      <c r="E71" s="67" t="s">
        <v>158</v>
      </c>
      <c r="F71" s="68" t="s">
        <v>248</v>
      </c>
      <c r="G71" s="143">
        <f t="shared" si="0"/>
        <v>0</v>
      </c>
      <c r="H71" s="122"/>
      <c r="I71" s="122"/>
      <c r="J71" s="122"/>
      <c r="K71" s="150"/>
      <c r="L71" s="142"/>
      <c r="M71" s="52"/>
      <c r="P71" s="115">
        <v>380</v>
      </c>
    </row>
    <row r="72" spans="3:16" s="140" customFormat="1" ht="12.75">
      <c r="C72" s="141"/>
      <c r="D72" s="106" t="s">
        <v>403</v>
      </c>
      <c r="E72" s="89" t="s">
        <v>161</v>
      </c>
      <c r="F72" s="68" t="s">
        <v>249</v>
      </c>
      <c r="G72" s="143">
        <f t="shared" si="0"/>
        <v>0</v>
      </c>
      <c r="H72" s="122"/>
      <c r="I72" s="122"/>
      <c r="J72" s="122"/>
      <c r="K72" s="122"/>
      <c r="L72" s="142"/>
      <c r="M72" s="52"/>
      <c r="P72" s="115"/>
    </row>
    <row r="73" spans="3:16" s="140" customFormat="1" ht="12.75">
      <c r="C73" s="141"/>
      <c r="D73" s="106" t="s">
        <v>404</v>
      </c>
      <c r="E73" s="88" t="s">
        <v>502</v>
      </c>
      <c r="F73" s="109" t="s">
        <v>250</v>
      </c>
      <c r="G73" s="143">
        <f t="shared" si="0"/>
        <v>12.164645161290323</v>
      </c>
      <c r="H73" s="143">
        <f>H74+H76+H79+H83</f>
        <v>0</v>
      </c>
      <c r="I73" s="143">
        <f>I74+I76+I79+I83</f>
        <v>5.7144973118279578</v>
      </c>
      <c r="J73" s="143">
        <f>J74+J76+J79+J83</f>
        <v>4.3550120967741934</v>
      </c>
      <c r="K73" s="143">
        <f>K74+K76+K79+K83</f>
        <v>2.0951357526881718</v>
      </c>
      <c r="L73" s="142"/>
      <c r="M73" s="52"/>
      <c r="P73" s="115">
        <v>390</v>
      </c>
    </row>
    <row r="74" spans="3:16" s="140" customFormat="1" ht="22.5">
      <c r="C74" s="141"/>
      <c r="D74" s="106" t="s">
        <v>405</v>
      </c>
      <c r="E74" s="67" t="s">
        <v>503</v>
      </c>
      <c r="F74" s="68" t="s">
        <v>251</v>
      </c>
      <c r="G74" s="143">
        <f t="shared" si="0"/>
        <v>0</v>
      </c>
      <c r="H74" s="122"/>
      <c r="I74" s="122"/>
      <c r="J74" s="122"/>
      <c r="K74" s="122"/>
      <c r="L74" s="142"/>
      <c r="M74" s="52"/>
      <c r="P74" s="115"/>
    </row>
    <row r="75" spans="3:16" s="140" customFormat="1" ht="12.75">
      <c r="C75" s="141"/>
      <c r="D75" s="106" t="s">
        <v>489</v>
      </c>
      <c r="E75" s="69" t="s">
        <v>476</v>
      </c>
      <c r="F75" s="68" t="s">
        <v>252</v>
      </c>
      <c r="G75" s="143">
        <f t="shared" si="0"/>
        <v>0</v>
      </c>
      <c r="H75" s="122"/>
      <c r="I75" s="122"/>
      <c r="J75" s="122"/>
      <c r="K75" s="122"/>
      <c r="L75" s="142"/>
      <c r="M75" s="52"/>
      <c r="P75" s="115"/>
    </row>
    <row r="76" spans="3:16" s="140" customFormat="1" ht="12.75">
      <c r="C76" s="141"/>
      <c r="D76" s="106" t="s">
        <v>406</v>
      </c>
      <c r="E76" s="67" t="s">
        <v>221</v>
      </c>
      <c r="F76" s="68" t="s">
        <v>253</v>
      </c>
      <c r="G76" s="143">
        <f t="shared" si="0"/>
        <v>7.4690026881720435</v>
      </c>
      <c r="H76" s="122">
        <f>H37/744</f>
        <v>0</v>
      </c>
      <c r="I76" s="122">
        <f>I37/744</f>
        <v>1.0188548387096779</v>
      </c>
      <c r="J76" s="122">
        <f>J37/744</f>
        <v>4.3550120967741934</v>
      </c>
      <c r="K76" s="122">
        <f>K37/744</f>
        <v>2.0951357526881718</v>
      </c>
      <c r="L76" s="142"/>
      <c r="M76" s="52"/>
      <c r="P76" s="115"/>
    </row>
    <row r="77" spans="3:16" s="140" customFormat="1" ht="12.75">
      <c r="C77" s="141"/>
      <c r="D77" s="106" t="s">
        <v>490</v>
      </c>
      <c r="E77" s="69" t="s">
        <v>504</v>
      </c>
      <c r="F77" s="68" t="s">
        <v>254</v>
      </c>
      <c r="G77" s="143">
        <f t="shared" si="0"/>
        <v>0</v>
      </c>
      <c r="H77" s="122"/>
      <c r="I77" s="122"/>
      <c r="J77" s="122"/>
      <c r="K77" s="122"/>
      <c r="L77" s="142"/>
      <c r="M77" s="52"/>
      <c r="P77" s="115"/>
    </row>
    <row r="78" spans="3:16" s="140" customFormat="1" ht="12.75">
      <c r="C78" s="141"/>
      <c r="D78" s="106" t="s">
        <v>491</v>
      </c>
      <c r="E78" s="71" t="s">
        <v>476</v>
      </c>
      <c r="F78" s="68" t="s">
        <v>255</v>
      </c>
      <c r="G78" s="143">
        <f t="shared" si="0"/>
        <v>0</v>
      </c>
      <c r="H78" s="122"/>
      <c r="I78" s="122"/>
      <c r="J78" s="122"/>
      <c r="K78" s="122"/>
      <c r="L78" s="142"/>
      <c r="M78" s="52"/>
      <c r="P78" s="115"/>
    </row>
    <row r="79" spans="3:16" s="140" customFormat="1" ht="12.75">
      <c r="C79" s="141"/>
      <c r="D79" s="106" t="s">
        <v>407</v>
      </c>
      <c r="E79" s="67" t="s">
        <v>505</v>
      </c>
      <c r="F79" s="68" t="s">
        <v>256</v>
      </c>
      <c r="G79" s="143">
        <f t="shared" si="0"/>
        <v>4.69564247311828</v>
      </c>
      <c r="H79" s="143">
        <f>SUM(H80:H82)</f>
        <v>0</v>
      </c>
      <c r="I79" s="143">
        <f>SUM(I80:I82)</f>
        <v>4.69564247311828</v>
      </c>
      <c r="J79" s="143">
        <f>SUM(J80:J82)</f>
        <v>0</v>
      </c>
      <c r="K79" s="143">
        <f>SUM(K80:K82)</f>
        <v>0</v>
      </c>
      <c r="L79" s="142"/>
      <c r="M79" s="52"/>
      <c r="P79" s="115"/>
    </row>
    <row r="80" spans="3:16" s="140" customFormat="1" ht="12.75">
      <c r="C80" s="141"/>
      <c r="D80" s="113" t="s">
        <v>497</v>
      </c>
      <c r="E80" s="144"/>
      <c r="F80" s="84" t="s">
        <v>256</v>
      </c>
      <c r="G80" s="145"/>
      <c r="H80" s="145"/>
      <c r="I80" s="145"/>
      <c r="J80" s="145"/>
      <c r="K80" s="145"/>
      <c r="L80" s="142"/>
      <c r="M80" s="52"/>
      <c r="P80" s="115"/>
    </row>
    <row r="81" spans="3:16" s="140" customFormat="1" ht="14.25">
      <c r="C81" s="121" t="s">
        <v>0</v>
      </c>
      <c r="D81" s="146" t="s">
        <v>1877</v>
      </c>
      <c r="E81" s="82" t="s">
        <v>1467</v>
      </c>
      <c r="F81" s="79">
        <v>1781</v>
      </c>
      <c r="G81" s="147">
        <f>SUM(H81:K81)</f>
        <v>4.69564247311828</v>
      </c>
      <c r="H81" s="148"/>
      <c r="I81" s="148">
        <f>I42/744</f>
        <v>4.69564247311828</v>
      </c>
      <c r="J81" s="148"/>
      <c r="K81" s="149"/>
      <c r="L81" s="142"/>
      <c r="M81" s="85" t="s">
        <v>1468</v>
      </c>
      <c r="N81" s="86" t="s">
        <v>1451</v>
      </c>
      <c r="O81" s="86" t="s">
        <v>1466</v>
      </c>
    </row>
    <row r="82" spans="3:16" s="140" customFormat="1" ht="12.75">
      <c r="C82" s="141"/>
      <c r="D82" s="108"/>
      <c r="E82" s="104" t="s">
        <v>334</v>
      </c>
      <c r="F82" s="73"/>
      <c r="G82" s="73"/>
      <c r="H82" s="73"/>
      <c r="I82" s="73"/>
      <c r="J82" s="73"/>
      <c r="K82" s="74"/>
      <c r="L82" s="142"/>
      <c r="M82" s="52"/>
      <c r="P82" s="115"/>
    </row>
    <row r="83" spans="3:16" s="140" customFormat="1" ht="12.75">
      <c r="C83" s="141"/>
      <c r="D83" s="106" t="s">
        <v>408</v>
      </c>
      <c r="E83" s="105" t="s">
        <v>477</v>
      </c>
      <c r="F83" s="68" t="s">
        <v>257</v>
      </c>
      <c r="G83" s="143">
        <f t="shared" si="0"/>
        <v>0</v>
      </c>
      <c r="H83" s="122"/>
      <c r="I83" s="122"/>
      <c r="J83" s="122"/>
      <c r="K83" s="122"/>
      <c r="L83" s="142"/>
      <c r="M83" s="52"/>
      <c r="P83" s="115">
        <v>410</v>
      </c>
    </row>
    <row r="84" spans="3:16" s="140" customFormat="1" ht="12.75">
      <c r="C84" s="141"/>
      <c r="D84" s="106" t="s">
        <v>409</v>
      </c>
      <c r="E84" s="88" t="s">
        <v>159</v>
      </c>
      <c r="F84" s="68" t="s">
        <v>258</v>
      </c>
      <c r="G84" s="143">
        <f t="shared" si="0"/>
        <v>5.7416034946236545</v>
      </c>
      <c r="H84" s="122">
        <f>H45/744</f>
        <v>1.7211169354838709</v>
      </c>
      <c r="I84" s="122">
        <f>I45/744</f>
        <v>1.9179099462365585</v>
      </c>
      <c r="J84" s="122">
        <f>J45/744</f>
        <v>2.1025766129032251</v>
      </c>
      <c r="K84" s="122">
        <f>K45/744</f>
        <v>7.8790021102430468E-17</v>
      </c>
      <c r="L84" s="142"/>
      <c r="M84" s="52"/>
      <c r="P84" s="115">
        <v>440</v>
      </c>
    </row>
    <row r="85" spans="3:16" s="140" customFormat="1" ht="12.75">
      <c r="C85" s="141"/>
      <c r="D85" s="106" t="s">
        <v>410</v>
      </c>
      <c r="E85" s="88" t="s">
        <v>160</v>
      </c>
      <c r="F85" s="68" t="s">
        <v>259</v>
      </c>
      <c r="G85" s="143">
        <f t="shared" si="0"/>
        <v>0</v>
      </c>
      <c r="H85" s="122"/>
      <c r="I85" s="122"/>
      <c r="J85" s="122"/>
      <c r="K85" s="122"/>
      <c r="L85" s="142"/>
      <c r="M85" s="52"/>
      <c r="P85" s="115">
        <v>450</v>
      </c>
    </row>
    <row r="86" spans="3:16" s="140" customFormat="1" ht="12.75">
      <c r="C86" s="141"/>
      <c r="D86" s="106" t="s">
        <v>411</v>
      </c>
      <c r="E86" s="88" t="s">
        <v>162</v>
      </c>
      <c r="F86" s="68" t="s">
        <v>260</v>
      </c>
      <c r="G86" s="143">
        <f t="shared" si="0"/>
        <v>0</v>
      </c>
      <c r="H86" s="122"/>
      <c r="I86" s="122"/>
      <c r="J86" s="122"/>
      <c r="K86" s="122"/>
      <c r="L86" s="142"/>
      <c r="M86" s="52"/>
      <c r="P86" s="115">
        <v>470</v>
      </c>
    </row>
    <row r="87" spans="3:16" s="140" customFormat="1" ht="12.75">
      <c r="C87" s="141"/>
      <c r="D87" s="106" t="s">
        <v>412</v>
      </c>
      <c r="E87" s="88" t="s">
        <v>473</v>
      </c>
      <c r="F87" s="68" t="s">
        <v>261</v>
      </c>
      <c r="G87" s="143">
        <f t="shared" si="0"/>
        <v>0.43621908602150539</v>
      </c>
      <c r="H87" s="122">
        <f>H48/744</f>
        <v>3.8411290322580643E-2</v>
      </c>
      <c r="I87" s="122">
        <f>I48/744</f>
        <v>3.536290322580645E-3</v>
      </c>
      <c r="J87" s="122">
        <f>J48/744</f>
        <v>0.38683064516129034</v>
      </c>
      <c r="K87" s="122">
        <f>K48/744</f>
        <v>7.4408602150537627E-3</v>
      </c>
      <c r="L87" s="142"/>
      <c r="M87" s="52"/>
      <c r="P87" s="115">
        <v>480</v>
      </c>
    </row>
    <row r="88" spans="3:16" s="140" customFormat="1" ht="12.75">
      <c r="C88" s="141"/>
      <c r="D88" s="106" t="s">
        <v>413</v>
      </c>
      <c r="E88" s="67" t="s">
        <v>233</v>
      </c>
      <c r="F88" s="68" t="s">
        <v>262</v>
      </c>
      <c r="G88" s="143">
        <f t="shared" si="0"/>
        <v>0</v>
      </c>
      <c r="H88" s="122"/>
      <c r="I88" s="122"/>
      <c r="J88" s="122"/>
      <c r="K88" s="122"/>
      <c r="L88" s="142"/>
      <c r="M88" s="52"/>
      <c r="P88" s="115">
        <v>490</v>
      </c>
    </row>
    <row r="89" spans="3:16" s="140" customFormat="1" ht="22.5">
      <c r="C89" s="141"/>
      <c r="D89" s="106" t="s">
        <v>414</v>
      </c>
      <c r="E89" s="88" t="s">
        <v>417</v>
      </c>
      <c r="F89" s="68" t="s">
        <v>263</v>
      </c>
      <c r="G89" s="143">
        <f t="shared" si="0"/>
        <v>0.20769758064516128</v>
      </c>
      <c r="H89" s="122"/>
      <c r="I89" s="122">
        <f>I50/744</f>
        <v>5.3536128387096767E-2</v>
      </c>
      <c r="J89" s="122">
        <f>J50/744</f>
        <v>7.7354886935483855E-2</v>
      </c>
      <c r="K89" s="122">
        <f>K50/744</f>
        <v>7.680656532258065E-2</v>
      </c>
      <c r="L89" s="142"/>
      <c r="M89" s="52"/>
      <c r="P89" s="115"/>
    </row>
    <row r="90" spans="3:16" s="140" customFormat="1" ht="33.75">
      <c r="C90" s="141"/>
      <c r="D90" s="106" t="s">
        <v>415</v>
      </c>
      <c r="E90" s="89" t="s">
        <v>236</v>
      </c>
      <c r="F90" s="68" t="s">
        <v>264</v>
      </c>
      <c r="G90" s="143">
        <f t="shared" si="0"/>
        <v>0.22852150537634414</v>
      </c>
      <c r="H90" s="143">
        <f>H87-H89</f>
        <v>3.8411290322580643E-2</v>
      </c>
      <c r="I90" s="143">
        <f>I87-I89</f>
        <v>-4.9999838064516119E-2</v>
      </c>
      <c r="J90" s="143">
        <f>J87-J89</f>
        <v>0.30947575822580647</v>
      </c>
      <c r="K90" s="143">
        <f>K87-K89</f>
        <v>-6.936570510752689E-2</v>
      </c>
      <c r="L90" s="142"/>
      <c r="M90" s="52"/>
      <c r="P90" s="115"/>
    </row>
    <row r="91" spans="3:16" s="140" customFormat="1" ht="12.75">
      <c r="C91" s="141"/>
      <c r="D91" s="106" t="s">
        <v>416</v>
      </c>
      <c r="E91" s="88" t="s">
        <v>163</v>
      </c>
      <c r="F91" s="68" t="s">
        <v>265</v>
      </c>
      <c r="G91" s="143">
        <f t="shared" si="0"/>
        <v>0</v>
      </c>
      <c r="H91" s="143">
        <f>(H54+H67+H72)-(H73+H84+H85+H86+H87)</f>
        <v>0</v>
      </c>
      <c r="I91" s="143">
        <f>(I54+I67+I72)-(I73+I84+I85+I86+I87)</f>
        <v>0</v>
      </c>
      <c r="J91" s="143">
        <f>(J54+J67+J72)-(J73+J84+J85+J86+J87)</f>
        <v>0</v>
      </c>
      <c r="K91" s="143">
        <f>(K54+K67+K72)-(K73+K84+K85+K86+K87)</f>
        <v>0</v>
      </c>
      <c r="L91" s="142"/>
      <c r="M91" s="52"/>
      <c r="P91" s="115">
        <v>500</v>
      </c>
    </row>
    <row r="92" spans="3:16" s="140" customFormat="1" ht="12.75">
      <c r="C92" s="141"/>
      <c r="D92" s="174" t="s">
        <v>202</v>
      </c>
      <c r="E92" s="175"/>
      <c r="F92" s="175"/>
      <c r="G92" s="175"/>
      <c r="H92" s="175"/>
      <c r="I92" s="175"/>
      <c r="J92" s="175"/>
      <c r="K92" s="176"/>
      <c r="L92" s="142"/>
      <c r="M92" s="52"/>
      <c r="P92" s="116"/>
    </row>
    <row r="93" spans="3:16" s="140" customFormat="1" ht="12.75">
      <c r="C93" s="141"/>
      <c r="D93" s="106" t="s">
        <v>418</v>
      </c>
      <c r="E93" s="88" t="s">
        <v>164</v>
      </c>
      <c r="F93" s="68" t="s">
        <v>266</v>
      </c>
      <c r="G93" s="143">
        <f t="shared" si="0"/>
        <v>0</v>
      </c>
      <c r="H93" s="122"/>
      <c r="I93" s="122"/>
      <c r="J93" s="122"/>
      <c r="K93" s="122"/>
      <c r="L93" s="142"/>
      <c r="M93" s="52"/>
      <c r="P93" s="115">
        <v>600</v>
      </c>
    </row>
    <row r="94" spans="3:16" s="140" customFormat="1" ht="12.75">
      <c r="C94" s="141"/>
      <c r="D94" s="106" t="s">
        <v>419</v>
      </c>
      <c r="E94" s="88" t="s">
        <v>165</v>
      </c>
      <c r="F94" s="68" t="s">
        <v>267</v>
      </c>
      <c r="G94" s="143">
        <f t="shared" si="0"/>
        <v>56.423000000000002</v>
      </c>
      <c r="H94" s="122"/>
      <c r="I94" s="122">
        <v>56.423000000000002</v>
      </c>
      <c r="J94" s="122"/>
      <c r="K94" s="122"/>
      <c r="L94" s="142"/>
      <c r="M94" s="52"/>
      <c r="P94" s="115">
        <v>610</v>
      </c>
    </row>
    <row r="95" spans="3:16" s="140" customFormat="1" ht="12.75">
      <c r="C95" s="141"/>
      <c r="D95" s="106" t="s">
        <v>420</v>
      </c>
      <c r="E95" s="88" t="s">
        <v>166</v>
      </c>
      <c r="F95" s="68" t="s">
        <v>268</v>
      </c>
      <c r="G95" s="143">
        <f t="shared" si="0"/>
        <v>0</v>
      </c>
      <c r="H95" s="122"/>
      <c r="I95" s="122"/>
      <c r="J95" s="122"/>
      <c r="K95" s="122"/>
      <c r="L95" s="142"/>
      <c r="M95" s="52"/>
      <c r="P95" s="115">
        <v>620</v>
      </c>
    </row>
    <row r="96" spans="3:16" s="140" customFormat="1" ht="12.75">
      <c r="C96" s="141"/>
      <c r="D96" s="174" t="s">
        <v>209</v>
      </c>
      <c r="E96" s="175"/>
      <c r="F96" s="175"/>
      <c r="G96" s="175"/>
      <c r="H96" s="175"/>
      <c r="I96" s="175"/>
      <c r="J96" s="175"/>
      <c r="K96" s="176"/>
      <c r="L96" s="142"/>
      <c r="M96" s="52"/>
      <c r="P96" s="116"/>
    </row>
    <row r="97" spans="3:16" s="140" customFormat="1" ht="12.75">
      <c r="C97" s="141"/>
      <c r="D97" s="106" t="s">
        <v>421</v>
      </c>
      <c r="E97" s="88" t="s">
        <v>506</v>
      </c>
      <c r="F97" s="68" t="s">
        <v>269</v>
      </c>
      <c r="G97" s="143">
        <f t="shared" si="0"/>
        <v>0</v>
      </c>
      <c r="H97" s="143">
        <f>SUM(H98:H99)</f>
        <v>0</v>
      </c>
      <c r="I97" s="143">
        <f>SUM(I98:I99)</f>
        <v>0</v>
      </c>
      <c r="J97" s="143">
        <f>SUM(J98:J99)</f>
        <v>0</v>
      </c>
      <c r="K97" s="143">
        <f>SUM(K98:K99)</f>
        <v>0</v>
      </c>
      <c r="L97" s="142"/>
      <c r="M97" s="52"/>
      <c r="P97" s="115">
        <v>700</v>
      </c>
    </row>
    <row r="98" spans="3:16" ht="12.75">
      <c r="C98" s="130"/>
      <c r="D98" s="107" t="s">
        <v>422</v>
      </c>
      <c r="E98" s="67" t="s">
        <v>167</v>
      </c>
      <c r="F98" s="68" t="s">
        <v>270</v>
      </c>
      <c r="G98" s="143">
        <f t="shared" si="0"/>
        <v>0</v>
      </c>
      <c r="H98" s="152"/>
      <c r="I98" s="152"/>
      <c r="J98" s="152"/>
      <c r="K98" s="152"/>
      <c r="L98" s="137"/>
      <c r="M98" s="52"/>
      <c r="P98" s="115">
        <v>710</v>
      </c>
    </row>
    <row r="99" spans="3:16" ht="12.75">
      <c r="C99" s="130"/>
      <c r="D99" s="107" t="s">
        <v>423</v>
      </c>
      <c r="E99" s="67" t="s">
        <v>507</v>
      </c>
      <c r="F99" s="68" t="s">
        <v>271</v>
      </c>
      <c r="G99" s="143">
        <f t="shared" si="0"/>
        <v>0</v>
      </c>
      <c r="H99" s="153">
        <f>H102</f>
        <v>0</v>
      </c>
      <c r="I99" s="153">
        <f>I102</f>
        <v>0</v>
      </c>
      <c r="J99" s="153">
        <f>J102</f>
        <v>0</v>
      </c>
      <c r="K99" s="153">
        <f>K102</f>
        <v>0</v>
      </c>
      <c r="L99" s="137"/>
      <c r="M99" s="52"/>
      <c r="P99" s="115">
        <v>720</v>
      </c>
    </row>
    <row r="100" spans="3:16" ht="12.75">
      <c r="C100" s="130"/>
      <c r="D100" s="107" t="s">
        <v>424</v>
      </c>
      <c r="E100" s="69" t="s">
        <v>508</v>
      </c>
      <c r="F100" s="68" t="s">
        <v>273</v>
      </c>
      <c r="G100" s="143">
        <f t="shared" si="0"/>
        <v>0</v>
      </c>
      <c r="H100" s="152"/>
      <c r="I100" s="152"/>
      <c r="J100" s="152"/>
      <c r="K100" s="152"/>
      <c r="L100" s="137"/>
      <c r="M100" s="52"/>
      <c r="P100" s="115">
        <v>730</v>
      </c>
    </row>
    <row r="101" spans="3:16" ht="12.75">
      <c r="C101" s="130"/>
      <c r="D101" s="107" t="s">
        <v>425</v>
      </c>
      <c r="E101" s="71" t="s">
        <v>509</v>
      </c>
      <c r="F101" s="68" t="s">
        <v>274</v>
      </c>
      <c r="G101" s="143">
        <f t="shared" si="0"/>
        <v>0</v>
      </c>
      <c r="H101" s="152"/>
      <c r="I101" s="152"/>
      <c r="J101" s="152"/>
      <c r="K101" s="152"/>
      <c r="L101" s="137"/>
      <c r="M101" s="52"/>
      <c r="P101" s="115"/>
    </row>
    <row r="102" spans="3:16" ht="12.75">
      <c r="C102" s="130"/>
      <c r="D102" s="107" t="s">
        <v>426</v>
      </c>
      <c r="E102" s="69" t="s">
        <v>478</v>
      </c>
      <c r="F102" s="68" t="s">
        <v>275</v>
      </c>
      <c r="G102" s="143">
        <f t="shared" si="0"/>
        <v>0</v>
      </c>
      <c r="H102" s="152"/>
      <c r="I102" s="152"/>
      <c r="J102" s="152"/>
      <c r="K102" s="152"/>
      <c r="L102" s="137"/>
      <c r="M102" s="52"/>
      <c r="P102" s="115">
        <v>740</v>
      </c>
    </row>
    <row r="103" spans="3:16" ht="12.75">
      <c r="C103" s="130"/>
      <c r="D103" s="107" t="s">
        <v>427</v>
      </c>
      <c r="E103" s="88" t="s">
        <v>510</v>
      </c>
      <c r="F103" s="68" t="s">
        <v>277</v>
      </c>
      <c r="G103" s="143">
        <f t="shared" si="0"/>
        <v>0</v>
      </c>
      <c r="H103" s="153">
        <f>H104+H120</f>
        <v>0</v>
      </c>
      <c r="I103" s="153">
        <f>I104+I120</f>
        <v>0</v>
      </c>
      <c r="J103" s="153">
        <f>J104+J120</f>
        <v>0</v>
      </c>
      <c r="K103" s="153">
        <f>K104+K120</f>
        <v>0</v>
      </c>
      <c r="L103" s="137"/>
      <c r="M103" s="52"/>
      <c r="P103" s="115">
        <v>750</v>
      </c>
    </row>
    <row r="104" spans="3:16" ht="12.75">
      <c r="C104" s="130"/>
      <c r="D104" s="107" t="s">
        <v>428</v>
      </c>
      <c r="E104" s="67" t="s">
        <v>279</v>
      </c>
      <c r="F104" s="68" t="s">
        <v>278</v>
      </c>
      <c r="G104" s="143">
        <f t="shared" si="0"/>
        <v>0</v>
      </c>
      <c r="H104" s="153">
        <f>H105+H106</f>
        <v>0</v>
      </c>
      <c r="I104" s="153">
        <f>I105+I106</f>
        <v>0</v>
      </c>
      <c r="J104" s="153">
        <f>J105+J106</f>
        <v>0</v>
      </c>
      <c r="K104" s="153">
        <f>K105+K106</f>
        <v>0</v>
      </c>
      <c r="L104" s="137"/>
      <c r="M104" s="52"/>
      <c r="P104" s="115">
        <v>760</v>
      </c>
    </row>
    <row r="105" spans="3:16" ht="12.75">
      <c r="C105" s="130"/>
      <c r="D105" s="107" t="s">
        <v>429</v>
      </c>
      <c r="E105" s="69" t="s">
        <v>222</v>
      </c>
      <c r="F105" s="68" t="s">
        <v>280</v>
      </c>
      <c r="G105" s="143">
        <f t="shared" si="0"/>
        <v>0</v>
      </c>
      <c r="H105" s="152"/>
      <c r="I105" s="152"/>
      <c r="J105" s="152"/>
      <c r="K105" s="152"/>
      <c r="L105" s="137"/>
      <c r="M105" s="52"/>
      <c r="P105" s="115"/>
    </row>
    <row r="106" spans="3:16" ht="12.75">
      <c r="C106" s="130"/>
      <c r="D106" s="107" t="s">
        <v>430</v>
      </c>
      <c r="E106" s="69" t="s">
        <v>511</v>
      </c>
      <c r="F106" s="68" t="s">
        <v>281</v>
      </c>
      <c r="G106" s="143">
        <f t="shared" si="0"/>
        <v>0</v>
      </c>
      <c r="H106" s="153">
        <f>H107+H110+H113+H116+H117+H118+H119</f>
        <v>0</v>
      </c>
      <c r="I106" s="153">
        <f>I107+I110+I113+I116+I117+I118+I119</f>
        <v>0</v>
      </c>
      <c r="J106" s="153">
        <f>J107+J110+J113+J116+J117+J118+J119</f>
        <v>0</v>
      </c>
      <c r="K106" s="153">
        <f>K107+K110+K113+K116+K117+K118+K119</f>
        <v>0</v>
      </c>
      <c r="L106" s="137"/>
      <c r="M106" s="52"/>
      <c r="P106" s="115"/>
    </row>
    <row r="107" spans="3:16" ht="45">
      <c r="C107" s="130"/>
      <c r="D107" s="107" t="s">
        <v>431</v>
      </c>
      <c r="E107" s="71" t="s">
        <v>512</v>
      </c>
      <c r="F107" s="68" t="s">
        <v>282</v>
      </c>
      <c r="G107" s="143">
        <f t="shared" si="0"/>
        <v>0</v>
      </c>
      <c r="H107" s="154">
        <f>H108+H109</f>
        <v>0</v>
      </c>
      <c r="I107" s="154">
        <f>I108+I109</f>
        <v>0</v>
      </c>
      <c r="J107" s="154">
        <f>J108+J109</f>
        <v>0</v>
      </c>
      <c r="K107" s="154">
        <f>K108+K109</f>
        <v>0</v>
      </c>
      <c r="L107" s="137"/>
      <c r="M107" s="52"/>
      <c r="P107" s="115"/>
    </row>
    <row r="108" spans="3:16" ht="12.75">
      <c r="C108" s="130"/>
      <c r="D108" s="107" t="s">
        <v>433</v>
      </c>
      <c r="E108" s="72" t="s">
        <v>283</v>
      </c>
      <c r="F108" s="68" t="s">
        <v>284</v>
      </c>
      <c r="G108" s="143">
        <f t="shared" si="0"/>
        <v>0</v>
      </c>
      <c r="H108" s="152"/>
      <c r="I108" s="152"/>
      <c r="J108" s="152"/>
      <c r="K108" s="152"/>
      <c r="L108" s="137"/>
      <c r="M108" s="52"/>
      <c r="P108" s="115"/>
    </row>
    <row r="109" spans="3:16" ht="12.75">
      <c r="C109" s="130"/>
      <c r="D109" s="107" t="s">
        <v>434</v>
      </c>
      <c r="E109" s="72" t="s">
        <v>285</v>
      </c>
      <c r="F109" s="68" t="s">
        <v>286</v>
      </c>
      <c r="G109" s="143">
        <f t="shared" si="0"/>
        <v>0</v>
      </c>
      <c r="H109" s="152"/>
      <c r="I109" s="152"/>
      <c r="J109" s="152"/>
      <c r="K109" s="152"/>
      <c r="L109" s="137"/>
      <c r="M109" s="52"/>
      <c r="P109" s="115"/>
    </row>
    <row r="110" spans="3:16" ht="45">
      <c r="C110" s="130"/>
      <c r="D110" s="107" t="s">
        <v>432</v>
      </c>
      <c r="E110" s="71" t="s">
        <v>513</v>
      </c>
      <c r="F110" s="68" t="s">
        <v>287</v>
      </c>
      <c r="G110" s="143">
        <f t="shared" si="0"/>
        <v>0</v>
      </c>
      <c r="H110" s="154">
        <f>H111+H112</f>
        <v>0</v>
      </c>
      <c r="I110" s="154">
        <f>I111+I112</f>
        <v>0</v>
      </c>
      <c r="J110" s="154">
        <f>J111+J112</f>
        <v>0</v>
      </c>
      <c r="K110" s="154">
        <f>K111+K112</f>
        <v>0</v>
      </c>
      <c r="L110" s="137"/>
      <c r="M110" s="52"/>
      <c r="P110" s="115"/>
    </row>
    <row r="111" spans="3:16" ht="12.75">
      <c r="C111" s="130"/>
      <c r="D111" s="107" t="s">
        <v>435</v>
      </c>
      <c r="E111" s="72" t="s">
        <v>283</v>
      </c>
      <c r="F111" s="68" t="s">
        <v>288</v>
      </c>
      <c r="G111" s="143">
        <f t="shared" si="0"/>
        <v>0</v>
      </c>
      <c r="H111" s="152"/>
      <c r="I111" s="152"/>
      <c r="J111" s="152"/>
      <c r="K111" s="152"/>
      <c r="L111" s="137"/>
      <c r="M111" s="52"/>
      <c r="P111" s="115"/>
    </row>
    <row r="112" spans="3:16" ht="12.75">
      <c r="C112" s="130"/>
      <c r="D112" s="107" t="s">
        <v>436</v>
      </c>
      <c r="E112" s="72" t="s">
        <v>285</v>
      </c>
      <c r="F112" s="68" t="s">
        <v>289</v>
      </c>
      <c r="G112" s="143">
        <f t="shared" si="0"/>
        <v>0</v>
      </c>
      <c r="H112" s="152"/>
      <c r="I112" s="152"/>
      <c r="J112" s="152"/>
      <c r="K112" s="152"/>
      <c r="L112" s="137"/>
      <c r="M112" s="52"/>
      <c r="P112" s="115"/>
    </row>
    <row r="113" spans="3:16" ht="22.5">
      <c r="C113" s="130"/>
      <c r="D113" s="107" t="s">
        <v>437</v>
      </c>
      <c r="E113" s="71" t="s">
        <v>514</v>
      </c>
      <c r="F113" s="68" t="s">
        <v>290</v>
      </c>
      <c r="G113" s="143">
        <f t="shared" si="0"/>
        <v>0</v>
      </c>
      <c r="H113" s="154">
        <f>H114+H115</f>
        <v>0</v>
      </c>
      <c r="I113" s="154">
        <f>I114+I115</f>
        <v>0</v>
      </c>
      <c r="J113" s="154">
        <f>J114+J115</f>
        <v>0</v>
      </c>
      <c r="K113" s="154">
        <f>K114+K115</f>
        <v>0</v>
      </c>
      <c r="L113" s="137"/>
      <c r="M113" s="52"/>
      <c r="P113" s="115"/>
    </row>
    <row r="114" spans="3:16" ht="12.75">
      <c r="C114" s="130"/>
      <c r="D114" s="107" t="s">
        <v>438</v>
      </c>
      <c r="E114" s="72" t="s">
        <v>283</v>
      </c>
      <c r="F114" s="68" t="s">
        <v>291</v>
      </c>
      <c r="G114" s="143">
        <f t="shared" si="0"/>
        <v>0</v>
      </c>
      <c r="H114" s="152"/>
      <c r="I114" s="152"/>
      <c r="J114" s="152"/>
      <c r="K114" s="152"/>
      <c r="L114" s="137"/>
      <c r="M114" s="52"/>
      <c r="P114" s="115"/>
    </row>
    <row r="115" spans="3:16" ht="12.75">
      <c r="C115" s="130"/>
      <c r="D115" s="107" t="s">
        <v>439</v>
      </c>
      <c r="E115" s="72" t="s">
        <v>285</v>
      </c>
      <c r="F115" s="68" t="s">
        <v>292</v>
      </c>
      <c r="G115" s="143">
        <f t="shared" si="0"/>
        <v>0</v>
      </c>
      <c r="H115" s="152"/>
      <c r="I115" s="152"/>
      <c r="J115" s="152"/>
      <c r="K115" s="152"/>
      <c r="L115" s="137"/>
      <c r="M115" s="52"/>
      <c r="P115" s="115"/>
    </row>
    <row r="116" spans="3:16" ht="22.5">
      <c r="C116" s="130"/>
      <c r="D116" s="107" t="s">
        <v>440</v>
      </c>
      <c r="E116" s="71" t="s">
        <v>293</v>
      </c>
      <c r="F116" s="68" t="s">
        <v>294</v>
      </c>
      <c r="G116" s="143">
        <f t="shared" si="0"/>
        <v>0</v>
      </c>
      <c r="H116" s="152"/>
      <c r="I116" s="152"/>
      <c r="J116" s="152"/>
      <c r="K116" s="152"/>
      <c r="L116" s="137"/>
      <c r="M116" s="52"/>
      <c r="P116" s="115"/>
    </row>
    <row r="117" spans="3:16" ht="12.75">
      <c r="C117" s="130"/>
      <c r="D117" s="107" t="s">
        <v>441</v>
      </c>
      <c r="E117" s="71" t="s">
        <v>295</v>
      </c>
      <c r="F117" s="68" t="s">
        <v>296</v>
      </c>
      <c r="G117" s="143">
        <f t="shared" si="0"/>
        <v>0</v>
      </c>
      <c r="H117" s="152"/>
      <c r="I117" s="152"/>
      <c r="J117" s="152"/>
      <c r="K117" s="152"/>
      <c r="L117" s="137"/>
      <c r="M117" s="52"/>
      <c r="P117" s="115"/>
    </row>
    <row r="118" spans="3:16" ht="45">
      <c r="C118" s="130"/>
      <c r="D118" s="107" t="s">
        <v>442</v>
      </c>
      <c r="E118" s="71" t="s">
        <v>479</v>
      </c>
      <c r="F118" s="68" t="s">
        <v>297</v>
      </c>
      <c r="G118" s="143">
        <f t="shared" si="0"/>
        <v>0</v>
      </c>
      <c r="H118" s="152"/>
      <c r="I118" s="152"/>
      <c r="J118" s="152"/>
      <c r="K118" s="152"/>
      <c r="L118" s="137"/>
      <c r="M118" s="52"/>
      <c r="P118" s="115"/>
    </row>
    <row r="119" spans="3:16" ht="22.5">
      <c r="C119" s="130"/>
      <c r="D119" s="107" t="s">
        <v>443</v>
      </c>
      <c r="E119" s="71" t="s">
        <v>298</v>
      </c>
      <c r="F119" s="68" t="s">
        <v>299</v>
      </c>
      <c r="G119" s="143">
        <f t="shared" si="0"/>
        <v>0</v>
      </c>
      <c r="H119" s="152"/>
      <c r="I119" s="152"/>
      <c r="J119" s="152"/>
      <c r="K119" s="152"/>
      <c r="L119" s="137"/>
      <c r="M119" s="52"/>
      <c r="P119" s="115"/>
    </row>
    <row r="120" spans="3:16" ht="12.75">
      <c r="C120" s="130"/>
      <c r="D120" s="107" t="s">
        <v>444</v>
      </c>
      <c r="E120" s="67" t="s">
        <v>515</v>
      </c>
      <c r="F120" s="68" t="s">
        <v>300</v>
      </c>
      <c r="G120" s="143">
        <f t="shared" si="0"/>
        <v>0</v>
      </c>
      <c r="H120" s="153">
        <f>H123</f>
        <v>0</v>
      </c>
      <c r="I120" s="153">
        <f>I123</f>
        <v>0</v>
      </c>
      <c r="J120" s="153">
        <f>J123</f>
        <v>0</v>
      </c>
      <c r="K120" s="153">
        <f>K123</f>
        <v>0</v>
      </c>
      <c r="L120" s="137"/>
      <c r="M120" s="52"/>
      <c r="P120" s="115">
        <v>770</v>
      </c>
    </row>
    <row r="121" spans="3:16" ht="12.75">
      <c r="C121" s="130"/>
      <c r="D121" s="107" t="s">
        <v>445</v>
      </c>
      <c r="E121" s="69" t="s">
        <v>508</v>
      </c>
      <c r="F121" s="68" t="s">
        <v>301</v>
      </c>
      <c r="G121" s="143">
        <f t="shared" si="0"/>
        <v>0</v>
      </c>
      <c r="H121" s="152"/>
      <c r="I121" s="152"/>
      <c r="J121" s="152"/>
      <c r="K121" s="152"/>
      <c r="L121" s="137"/>
      <c r="M121" s="52"/>
      <c r="P121" s="115">
        <v>780</v>
      </c>
    </row>
    <row r="122" spans="3:16" ht="12.75">
      <c r="C122" s="130"/>
      <c r="D122" s="107" t="s">
        <v>446</v>
      </c>
      <c r="E122" s="71" t="s">
        <v>516</v>
      </c>
      <c r="F122" s="68" t="s">
        <v>302</v>
      </c>
      <c r="G122" s="143">
        <f t="shared" si="0"/>
        <v>0</v>
      </c>
      <c r="H122" s="152"/>
      <c r="I122" s="152"/>
      <c r="J122" s="152"/>
      <c r="K122" s="152"/>
      <c r="L122" s="137"/>
      <c r="M122" s="52"/>
      <c r="P122" s="115"/>
    </row>
    <row r="123" spans="3:16" ht="12.75">
      <c r="C123" s="130"/>
      <c r="D123" s="107" t="s">
        <v>447</v>
      </c>
      <c r="E123" s="69" t="s">
        <v>478</v>
      </c>
      <c r="F123" s="68" t="s">
        <v>303</v>
      </c>
      <c r="G123" s="143">
        <f t="shared" si="0"/>
        <v>0</v>
      </c>
      <c r="H123" s="152"/>
      <c r="I123" s="152"/>
      <c r="J123" s="152"/>
      <c r="K123" s="152"/>
      <c r="L123" s="137"/>
      <c r="M123" s="52"/>
      <c r="P123" s="115">
        <v>790</v>
      </c>
    </row>
    <row r="124" spans="3:16" ht="22.5">
      <c r="C124" s="130"/>
      <c r="D124" s="107" t="s">
        <v>448</v>
      </c>
      <c r="E124" s="89" t="s">
        <v>517</v>
      </c>
      <c r="F124" s="68" t="s">
        <v>304</v>
      </c>
      <c r="G124" s="143">
        <f t="shared" si="0"/>
        <v>9375.0430000000015</v>
      </c>
      <c r="H124" s="153">
        <f>SUM(H125:H126)</f>
        <v>28.577999999999999</v>
      </c>
      <c r="I124" s="153">
        <f>SUM(I125:I126)</f>
        <v>4476.0720000000001</v>
      </c>
      <c r="J124" s="153">
        <f>SUM(J125:J126)</f>
        <v>3311.6119999999996</v>
      </c>
      <c r="K124" s="153">
        <f>SUM(K125:K126)</f>
        <v>1558.7809999999999</v>
      </c>
      <c r="L124" s="137"/>
      <c r="M124" s="52"/>
      <c r="P124" s="115"/>
    </row>
    <row r="125" spans="3:16" ht="12.75">
      <c r="C125" s="130"/>
      <c r="D125" s="107" t="s">
        <v>449</v>
      </c>
      <c r="E125" s="67" t="s">
        <v>167</v>
      </c>
      <c r="F125" s="68" t="s">
        <v>305</v>
      </c>
      <c r="G125" s="143">
        <f t="shared" si="0"/>
        <v>0</v>
      </c>
      <c r="H125" s="152"/>
      <c r="I125" s="152"/>
      <c r="J125" s="152"/>
      <c r="K125" s="152"/>
      <c r="L125" s="137"/>
      <c r="M125" s="52"/>
      <c r="P125" s="115"/>
    </row>
    <row r="126" spans="3:16" ht="12.75">
      <c r="C126" s="130"/>
      <c r="D126" s="107" t="s">
        <v>450</v>
      </c>
      <c r="E126" s="67" t="s">
        <v>507</v>
      </c>
      <c r="F126" s="68" t="s">
        <v>306</v>
      </c>
      <c r="G126" s="143">
        <f t="shared" si="0"/>
        <v>9375.0430000000015</v>
      </c>
      <c r="H126" s="153">
        <f>H128</f>
        <v>28.577999999999999</v>
      </c>
      <c r="I126" s="153">
        <f>I128</f>
        <v>4476.0720000000001</v>
      </c>
      <c r="J126" s="153">
        <f>J128</f>
        <v>3311.6119999999996</v>
      </c>
      <c r="K126" s="153">
        <f>K128</f>
        <v>1558.7809999999999</v>
      </c>
      <c r="L126" s="137"/>
      <c r="M126" s="52"/>
      <c r="P126" s="115"/>
    </row>
    <row r="127" spans="3:16" ht="12.75">
      <c r="C127" s="130"/>
      <c r="D127" s="107" t="s">
        <v>451</v>
      </c>
      <c r="E127" s="69" t="s">
        <v>272</v>
      </c>
      <c r="F127" s="68" t="s">
        <v>307</v>
      </c>
      <c r="G127" s="143">
        <f t="shared" si="0"/>
        <v>56.423000000000002</v>
      </c>
      <c r="H127" s="152"/>
      <c r="I127" s="152">
        <f>I94</f>
        <v>56.423000000000002</v>
      </c>
      <c r="J127" s="152"/>
      <c r="K127" s="152"/>
      <c r="L127" s="137"/>
      <c r="M127" s="52"/>
      <c r="P127" s="115"/>
    </row>
    <row r="128" spans="3:16" ht="12.75">
      <c r="C128" s="130"/>
      <c r="D128" s="107" t="s">
        <v>452</v>
      </c>
      <c r="E128" s="69" t="s">
        <v>478</v>
      </c>
      <c r="F128" s="68" t="s">
        <v>308</v>
      </c>
      <c r="G128" s="143">
        <f t="shared" si="0"/>
        <v>9375.0430000000015</v>
      </c>
      <c r="H128" s="152">
        <f>H48+H34</f>
        <v>28.577999999999999</v>
      </c>
      <c r="I128" s="152">
        <f>I34+224.486</f>
        <v>4476.0720000000001</v>
      </c>
      <c r="J128" s="152">
        <f>J34+4.107+22.569+44.807</f>
        <v>3311.6119999999996</v>
      </c>
      <c r="K128" s="152">
        <f>K34</f>
        <v>1558.7809999999999</v>
      </c>
      <c r="L128" s="137"/>
      <c r="M128" s="52"/>
      <c r="P128" s="115"/>
    </row>
    <row r="129" spans="3:16" ht="12.75">
      <c r="C129" s="130"/>
      <c r="D129" s="174" t="s">
        <v>203</v>
      </c>
      <c r="E129" s="175"/>
      <c r="F129" s="175"/>
      <c r="G129" s="175"/>
      <c r="H129" s="175"/>
      <c r="I129" s="175"/>
      <c r="J129" s="175"/>
      <c r="K129" s="176"/>
      <c r="L129" s="137"/>
      <c r="M129" s="52"/>
      <c r="P129" s="117"/>
    </row>
    <row r="130" spans="3:16" ht="22.5">
      <c r="C130" s="130"/>
      <c r="D130" s="107" t="s">
        <v>453</v>
      </c>
      <c r="E130" s="88" t="s">
        <v>518</v>
      </c>
      <c r="F130" s="68" t="s">
        <v>309</v>
      </c>
      <c r="G130" s="143">
        <f t="shared" si="0"/>
        <v>0</v>
      </c>
      <c r="H130" s="153">
        <f>SUM( H131:H132)</f>
        <v>0</v>
      </c>
      <c r="I130" s="153">
        <f>SUM( I131:I132)</f>
        <v>0</v>
      </c>
      <c r="J130" s="153">
        <f>SUM( J131:J132)</f>
        <v>0</v>
      </c>
      <c r="K130" s="153">
        <f>SUM( K131:K132)</f>
        <v>0</v>
      </c>
      <c r="L130" s="137"/>
      <c r="M130" s="52"/>
      <c r="P130" s="115">
        <v>800</v>
      </c>
    </row>
    <row r="131" spans="3:16" ht="12.75">
      <c r="C131" s="130"/>
      <c r="D131" s="107" t="s">
        <v>454</v>
      </c>
      <c r="E131" s="67" t="s">
        <v>167</v>
      </c>
      <c r="F131" s="68" t="s">
        <v>310</v>
      </c>
      <c r="G131" s="143">
        <f t="shared" si="0"/>
        <v>0</v>
      </c>
      <c r="H131" s="152"/>
      <c r="I131" s="152"/>
      <c r="J131" s="152"/>
      <c r="K131" s="152"/>
      <c r="L131" s="137"/>
      <c r="M131" s="52"/>
      <c r="P131" s="115">
        <v>810</v>
      </c>
    </row>
    <row r="132" spans="3:16" ht="12.75">
      <c r="C132" s="130"/>
      <c r="D132" s="107" t="s">
        <v>455</v>
      </c>
      <c r="E132" s="67" t="s">
        <v>507</v>
      </c>
      <c r="F132" s="68" t="s">
        <v>311</v>
      </c>
      <c r="G132" s="143">
        <f t="shared" si="0"/>
        <v>0</v>
      </c>
      <c r="H132" s="153">
        <f>H133+H135</f>
        <v>0</v>
      </c>
      <c r="I132" s="153">
        <f>I133+I135</f>
        <v>0</v>
      </c>
      <c r="J132" s="153">
        <f>J133+J135</f>
        <v>0</v>
      </c>
      <c r="K132" s="153">
        <f>K133+K135</f>
        <v>0</v>
      </c>
      <c r="L132" s="137"/>
      <c r="M132" s="52"/>
      <c r="P132" s="115">
        <v>820</v>
      </c>
    </row>
    <row r="133" spans="3:16" ht="12.75">
      <c r="C133" s="130"/>
      <c r="D133" s="107" t="s">
        <v>456</v>
      </c>
      <c r="E133" s="69" t="s">
        <v>519</v>
      </c>
      <c r="F133" s="68" t="s">
        <v>312</v>
      </c>
      <c r="G133" s="143">
        <f t="shared" si="0"/>
        <v>0</v>
      </c>
      <c r="H133" s="152"/>
      <c r="I133" s="152"/>
      <c r="J133" s="152"/>
      <c r="K133" s="152"/>
      <c r="L133" s="137"/>
      <c r="M133" s="52"/>
      <c r="P133" s="115">
        <v>830</v>
      </c>
    </row>
    <row r="134" spans="3:16" ht="12.75">
      <c r="C134" s="130"/>
      <c r="D134" s="107" t="s">
        <v>457</v>
      </c>
      <c r="E134" s="71" t="s">
        <v>520</v>
      </c>
      <c r="F134" s="68" t="s">
        <v>313</v>
      </c>
      <c r="G134" s="143">
        <f t="shared" si="0"/>
        <v>0</v>
      </c>
      <c r="H134" s="152"/>
      <c r="I134" s="152"/>
      <c r="J134" s="152"/>
      <c r="K134" s="152"/>
      <c r="L134" s="137"/>
      <c r="M134" s="52"/>
      <c r="P134" s="117"/>
    </row>
    <row r="135" spans="3:16" ht="12.75">
      <c r="C135" s="130"/>
      <c r="D135" s="107" t="s">
        <v>458</v>
      </c>
      <c r="E135" s="69" t="s">
        <v>169</v>
      </c>
      <c r="F135" s="68" t="s">
        <v>314</v>
      </c>
      <c r="G135" s="143">
        <f t="shared" si="0"/>
        <v>0</v>
      </c>
      <c r="H135" s="152"/>
      <c r="I135" s="152"/>
      <c r="J135" s="152"/>
      <c r="K135" s="152"/>
      <c r="L135" s="137"/>
      <c r="M135" s="52"/>
      <c r="P135" s="115">
        <v>840</v>
      </c>
    </row>
    <row r="136" spans="3:16" ht="12.75">
      <c r="C136" s="130"/>
      <c r="D136" s="107" t="s">
        <v>336</v>
      </c>
      <c r="E136" s="88" t="s">
        <v>521</v>
      </c>
      <c r="F136" s="68" t="s">
        <v>315</v>
      </c>
      <c r="G136" s="143">
        <f t="shared" si="0"/>
        <v>0</v>
      </c>
      <c r="H136" s="154">
        <f>SUM( H137+H142)</f>
        <v>0</v>
      </c>
      <c r="I136" s="154">
        <f>SUM( I137+I142)</f>
        <v>0</v>
      </c>
      <c r="J136" s="154">
        <f>SUM( J137+J142)</f>
        <v>0</v>
      </c>
      <c r="K136" s="154">
        <f>SUM( K137+K142)</f>
        <v>0</v>
      </c>
      <c r="L136" s="155"/>
      <c r="M136" s="52"/>
      <c r="P136" s="115">
        <v>850</v>
      </c>
    </row>
    <row r="137" spans="3:16" ht="12.75">
      <c r="C137" s="130"/>
      <c r="D137" s="107" t="s">
        <v>459</v>
      </c>
      <c r="E137" s="67" t="s">
        <v>167</v>
      </c>
      <c r="F137" s="68" t="s">
        <v>316</v>
      </c>
      <c r="G137" s="143">
        <f t="shared" ref="G137:G150" si="1">SUM(H137:K137)</f>
        <v>0</v>
      </c>
      <c r="H137" s="154">
        <f>SUM( H138:H139)</f>
        <v>0</v>
      </c>
      <c r="I137" s="154">
        <f>SUM( I138:I139)</f>
        <v>0</v>
      </c>
      <c r="J137" s="154">
        <f>SUM( J138:J139)</f>
        <v>0</v>
      </c>
      <c r="K137" s="154">
        <f>SUM( K138:K139)</f>
        <v>0</v>
      </c>
      <c r="L137" s="155"/>
      <c r="M137" s="52"/>
      <c r="P137" s="115">
        <v>860</v>
      </c>
    </row>
    <row r="138" spans="3:16" ht="12.75">
      <c r="C138" s="130"/>
      <c r="D138" s="107" t="s">
        <v>460</v>
      </c>
      <c r="E138" s="69" t="s">
        <v>222</v>
      </c>
      <c r="F138" s="68" t="s">
        <v>317</v>
      </c>
      <c r="G138" s="143">
        <f t="shared" si="1"/>
        <v>0</v>
      </c>
      <c r="H138" s="156"/>
      <c r="I138" s="156"/>
      <c r="J138" s="156"/>
      <c r="K138" s="156"/>
      <c r="L138" s="155"/>
      <c r="M138" s="52"/>
      <c r="P138" s="115"/>
    </row>
    <row r="139" spans="3:16" ht="12.75">
      <c r="C139" s="130"/>
      <c r="D139" s="107" t="s">
        <v>461</v>
      </c>
      <c r="E139" s="69" t="s">
        <v>511</v>
      </c>
      <c r="F139" s="68" t="s">
        <v>318</v>
      </c>
      <c r="G139" s="143">
        <f t="shared" si="1"/>
        <v>0</v>
      </c>
      <c r="H139" s="154">
        <f>H140+H141</f>
        <v>0</v>
      </c>
      <c r="I139" s="154">
        <f>I140+I141</f>
        <v>0</v>
      </c>
      <c r="J139" s="154">
        <f>J140+J141</f>
        <v>0</v>
      </c>
      <c r="K139" s="154">
        <f>K140+K141</f>
        <v>0</v>
      </c>
      <c r="L139" s="155"/>
      <c r="M139" s="52"/>
      <c r="P139" s="115"/>
    </row>
    <row r="140" spans="3:16" ht="12.75">
      <c r="C140" s="130"/>
      <c r="D140" s="107" t="s">
        <v>462</v>
      </c>
      <c r="E140" s="71" t="s">
        <v>283</v>
      </c>
      <c r="F140" s="68" t="s">
        <v>319</v>
      </c>
      <c r="G140" s="143">
        <f t="shared" si="1"/>
        <v>0</v>
      </c>
      <c r="H140" s="156"/>
      <c r="I140" s="156"/>
      <c r="J140" s="156"/>
      <c r="K140" s="156"/>
      <c r="L140" s="155"/>
      <c r="M140" s="52"/>
      <c r="P140" s="115"/>
    </row>
    <row r="141" spans="3:16" ht="12.75">
      <c r="C141" s="130"/>
      <c r="D141" s="107" t="s">
        <v>463</v>
      </c>
      <c r="E141" s="71" t="s">
        <v>320</v>
      </c>
      <c r="F141" s="68" t="s">
        <v>321</v>
      </c>
      <c r="G141" s="143">
        <f t="shared" si="1"/>
        <v>0</v>
      </c>
      <c r="H141" s="156"/>
      <c r="I141" s="156"/>
      <c r="J141" s="156"/>
      <c r="K141" s="156"/>
      <c r="L141" s="155"/>
      <c r="M141" s="52"/>
      <c r="P141" s="115"/>
    </row>
    <row r="142" spans="3:16" ht="12.75">
      <c r="C142" s="130"/>
      <c r="D142" s="107" t="s">
        <v>464</v>
      </c>
      <c r="E142" s="67" t="s">
        <v>515</v>
      </c>
      <c r="F142" s="68" t="s">
        <v>322</v>
      </c>
      <c r="G142" s="143">
        <f t="shared" si="1"/>
        <v>0</v>
      </c>
      <c r="H142" s="154">
        <f>H143+H145</f>
        <v>0</v>
      </c>
      <c r="I142" s="154">
        <f>I143+I145</f>
        <v>0</v>
      </c>
      <c r="J142" s="154">
        <f>J143+J145</f>
        <v>0</v>
      </c>
      <c r="K142" s="154">
        <f>K143+K145</f>
        <v>0</v>
      </c>
      <c r="L142" s="155"/>
      <c r="M142" s="52"/>
      <c r="P142" s="115">
        <v>870</v>
      </c>
    </row>
    <row r="143" spans="3:16" ht="12.75">
      <c r="C143" s="130"/>
      <c r="D143" s="107" t="s">
        <v>465</v>
      </c>
      <c r="E143" s="69" t="s">
        <v>519</v>
      </c>
      <c r="F143" s="68" t="s">
        <v>323</v>
      </c>
      <c r="G143" s="143">
        <f t="shared" si="1"/>
        <v>0</v>
      </c>
      <c r="H143" s="152"/>
      <c r="I143" s="152"/>
      <c r="J143" s="152"/>
      <c r="K143" s="152"/>
      <c r="L143" s="155"/>
      <c r="M143" s="52"/>
      <c r="P143" s="115">
        <v>880</v>
      </c>
    </row>
    <row r="144" spans="3:16" ht="12.75">
      <c r="C144" s="130"/>
      <c r="D144" s="107" t="s">
        <v>466</v>
      </c>
      <c r="E144" s="71" t="s">
        <v>520</v>
      </c>
      <c r="F144" s="68" t="s">
        <v>324</v>
      </c>
      <c r="G144" s="143">
        <f t="shared" si="1"/>
        <v>0</v>
      </c>
      <c r="H144" s="152"/>
      <c r="I144" s="152"/>
      <c r="J144" s="152"/>
      <c r="K144" s="152"/>
      <c r="L144" s="155"/>
      <c r="M144" s="52"/>
      <c r="P144" s="115"/>
    </row>
    <row r="145" spans="3:19" ht="12.75">
      <c r="C145" s="130"/>
      <c r="D145" s="107" t="s">
        <v>467</v>
      </c>
      <c r="E145" s="69" t="s">
        <v>169</v>
      </c>
      <c r="F145" s="68" t="s">
        <v>325</v>
      </c>
      <c r="G145" s="143">
        <f t="shared" si="1"/>
        <v>0</v>
      </c>
      <c r="H145" s="157"/>
      <c r="I145" s="157"/>
      <c r="J145" s="157"/>
      <c r="K145" s="157"/>
      <c r="L145" s="155"/>
      <c r="M145" s="52"/>
      <c r="P145" s="115">
        <v>890</v>
      </c>
    </row>
    <row r="146" spans="3:19" ht="22.5">
      <c r="C146" s="130"/>
      <c r="D146" s="107" t="s">
        <v>468</v>
      </c>
      <c r="E146" s="88" t="s">
        <v>522</v>
      </c>
      <c r="F146" s="68" t="s">
        <v>326</v>
      </c>
      <c r="G146" s="143">
        <f t="shared" si="1"/>
        <v>4426.0494791760011</v>
      </c>
      <c r="H146" s="158">
        <f>SUM( H147:H148)</f>
        <v>2.8052164799999995</v>
      </c>
      <c r="I146" s="158">
        <f>SUM( I147:I148)</f>
        <v>3945.1664858160002</v>
      </c>
      <c r="J146" s="158">
        <f>SUM( J147:J148)</f>
        <v>325.06783391999994</v>
      </c>
      <c r="K146" s="158">
        <f>SUM( K147:K148)</f>
        <v>153.00994295999999</v>
      </c>
      <c r="L146" s="155"/>
      <c r="M146" s="52"/>
      <c r="P146" s="115">
        <v>900</v>
      </c>
    </row>
    <row r="147" spans="3:19" ht="12.75">
      <c r="C147" s="130"/>
      <c r="D147" s="107" t="s">
        <v>469</v>
      </c>
      <c r="E147" s="67" t="s">
        <v>167</v>
      </c>
      <c r="F147" s="68" t="s">
        <v>327</v>
      </c>
      <c r="G147" s="143">
        <f t="shared" si="1"/>
        <v>0</v>
      </c>
      <c r="H147" s="157"/>
      <c r="I147" s="157"/>
      <c r="J147" s="157"/>
      <c r="K147" s="157"/>
      <c r="L147" s="155"/>
      <c r="M147" s="52"/>
      <c r="P147" s="115"/>
    </row>
    <row r="148" spans="3:19" ht="12.75">
      <c r="C148" s="130"/>
      <c r="D148" s="107" t="s">
        <v>470</v>
      </c>
      <c r="E148" s="67" t="s">
        <v>507</v>
      </c>
      <c r="F148" s="68" t="s">
        <v>328</v>
      </c>
      <c r="G148" s="143">
        <f t="shared" si="1"/>
        <v>4426.0494791760011</v>
      </c>
      <c r="H148" s="158">
        <f>H149+H150</f>
        <v>2.8052164799999995</v>
      </c>
      <c r="I148" s="158">
        <f>I149+I150</f>
        <v>3945.1664858160002</v>
      </c>
      <c r="J148" s="158">
        <f>J149+J150</f>
        <v>325.06783391999994</v>
      </c>
      <c r="K148" s="158">
        <f>K149+K150</f>
        <v>153.00994295999999</v>
      </c>
      <c r="L148" s="155"/>
      <c r="M148" s="52"/>
      <c r="P148" s="115"/>
    </row>
    <row r="149" spans="3:19" ht="12.75">
      <c r="C149" s="130"/>
      <c r="D149" s="107" t="s">
        <v>471</v>
      </c>
      <c r="E149" s="69" t="s">
        <v>168</v>
      </c>
      <c r="F149" s="68" t="s">
        <v>331</v>
      </c>
      <c r="G149" s="143">
        <f t="shared" si="1"/>
        <v>3505.7952582960002</v>
      </c>
      <c r="H149" s="157"/>
      <c r="I149" s="157">
        <f>I127*51778.46/1000*1.2</f>
        <v>3505.7952582960002</v>
      </c>
      <c r="J149" s="157"/>
      <c r="K149" s="157"/>
      <c r="L149" s="155"/>
      <c r="M149" s="52"/>
      <c r="P149" s="115" t="s">
        <v>329</v>
      </c>
    </row>
    <row r="150" spans="3:19" ht="12.75">
      <c r="C150" s="130"/>
      <c r="D150" s="107" t="s">
        <v>472</v>
      </c>
      <c r="E150" s="69" t="s">
        <v>169</v>
      </c>
      <c r="F150" s="68" t="s">
        <v>332</v>
      </c>
      <c r="G150" s="143">
        <f t="shared" si="1"/>
        <v>920.25422087999993</v>
      </c>
      <c r="H150" s="157">
        <f>H128*81.8/1000*1.2</f>
        <v>2.8052164799999995</v>
      </c>
      <c r="I150" s="157">
        <f>I128*81.8/1000*1.2</f>
        <v>439.37122751999999</v>
      </c>
      <c r="J150" s="157">
        <f>J128*81.8/1000*1.2</f>
        <v>325.06783391999994</v>
      </c>
      <c r="K150" s="157">
        <f>K128*81.8/1000*1.2</f>
        <v>153.00994295999999</v>
      </c>
      <c r="L150" s="155"/>
      <c r="M150" s="52"/>
      <c r="P150" s="115" t="s">
        <v>330</v>
      </c>
    </row>
    <row r="151" spans="3:19">
      <c r="D151" s="135"/>
      <c r="E151" s="159"/>
      <c r="F151" s="159"/>
      <c r="G151" s="159"/>
      <c r="H151" s="159"/>
      <c r="I151" s="159"/>
      <c r="J151" s="159"/>
      <c r="K151" s="160"/>
      <c r="L151" s="160"/>
      <c r="M151" s="160"/>
      <c r="N151" s="160"/>
      <c r="O151" s="160"/>
      <c r="P151" s="160"/>
      <c r="Q151" s="160"/>
      <c r="R151" s="161"/>
      <c r="S151" s="161"/>
    </row>
    <row r="152" spans="3:19" ht="12.75">
      <c r="E152" s="52" t="s">
        <v>204</v>
      </c>
      <c r="F152" s="180" t="str">
        <f>IF([7]Титульный!G45="","",[7]Титульный!G45)</f>
        <v>ведущий экономист</v>
      </c>
      <c r="G152" s="180"/>
      <c r="H152" s="53"/>
      <c r="I152" s="180" t="str">
        <f>IF([7]Титульный!G44="","",[7]Титульный!G44)</f>
        <v>Кривнева Е.В.</v>
      </c>
      <c r="J152" s="180"/>
      <c r="K152" s="180"/>
      <c r="L152" s="53"/>
      <c r="M152" s="55"/>
      <c r="N152" s="55"/>
      <c r="O152" s="54"/>
      <c r="P152" s="160"/>
      <c r="Q152" s="160"/>
      <c r="R152" s="161"/>
      <c r="S152" s="161"/>
    </row>
    <row r="153" spans="3:19" ht="12.75">
      <c r="E153" s="56" t="s">
        <v>205</v>
      </c>
      <c r="F153" s="181" t="s">
        <v>176</v>
      </c>
      <c r="G153" s="181"/>
      <c r="H153" s="54"/>
      <c r="I153" s="181" t="s">
        <v>174</v>
      </c>
      <c r="J153" s="181"/>
      <c r="K153" s="181"/>
      <c r="L153" s="54"/>
      <c r="M153" s="181" t="s">
        <v>175</v>
      </c>
      <c r="N153" s="181"/>
      <c r="O153" s="52"/>
      <c r="P153" s="160"/>
      <c r="Q153" s="160"/>
      <c r="R153" s="161"/>
      <c r="S153" s="161"/>
    </row>
    <row r="154" spans="3:19" ht="12.75">
      <c r="E154" s="56" t="s">
        <v>206</v>
      </c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160"/>
      <c r="Q154" s="160"/>
      <c r="R154" s="161"/>
      <c r="S154" s="161"/>
    </row>
    <row r="155" spans="3:19" ht="12.75">
      <c r="E155" s="56" t="s">
        <v>207</v>
      </c>
      <c r="F155" s="180" t="str">
        <f>IF([7]Титульный!G46="","",[7]Титульный!G46)</f>
        <v>(861) 258-50-71</v>
      </c>
      <c r="G155" s="180"/>
      <c r="H155" s="180"/>
      <c r="I155" s="52"/>
      <c r="J155" s="56" t="s">
        <v>177</v>
      </c>
      <c r="K155" s="165"/>
      <c r="L155" s="52"/>
      <c r="M155" s="52"/>
      <c r="N155" s="52"/>
      <c r="O155" s="52"/>
      <c r="P155" s="160"/>
      <c r="Q155" s="160"/>
      <c r="R155" s="161"/>
      <c r="S155" s="161"/>
    </row>
    <row r="156" spans="3:19" ht="12.75">
      <c r="E156" s="52" t="s">
        <v>208</v>
      </c>
      <c r="F156" s="182" t="s">
        <v>178</v>
      </c>
      <c r="G156" s="182"/>
      <c r="H156" s="182"/>
      <c r="I156" s="52"/>
      <c r="J156" s="57" t="s">
        <v>179</v>
      </c>
      <c r="K156" s="57"/>
      <c r="L156" s="52"/>
      <c r="M156" s="52"/>
      <c r="N156" s="52"/>
      <c r="O156" s="52"/>
      <c r="P156" s="160"/>
      <c r="Q156" s="160"/>
      <c r="R156" s="161"/>
      <c r="S156" s="161"/>
    </row>
    <row r="157" spans="3:19"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1"/>
      <c r="S157" s="161"/>
    </row>
    <row r="158" spans="3:19"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1"/>
      <c r="S158" s="161"/>
    </row>
    <row r="159" spans="3:19"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1"/>
      <c r="S159" s="161"/>
    </row>
    <row r="160" spans="3:19"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1"/>
      <c r="S160" s="161"/>
    </row>
    <row r="161" spans="5:19"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1"/>
      <c r="S161" s="161"/>
    </row>
    <row r="162" spans="5:19"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1"/>
      <c r="S162" s="161"/>
    </row>
    <row r="163" spans="5:19"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1"/>
      <c r="S163" s="161"/>
    </row>
    <row r="164" spans="5:19"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1"/>
      <c r="S164" s="161"/>
    </row>
    <row r="165" spans="5:19">
      <c r="E165" s="160"/>
      <c r="F165" s="160"/>
      <c r="G165" s="160"/>
      <c r="H165" s="160"/>
      <c r="I165" s="160"/>
      <c r="J165" s="160"/>
      <c r="K165" s="160"/>
      <c r="L165" s="160"/>
      <c r="M165" s="160"/>
      <c r="N165" s="160"/>
      <c r="O165" s="160"/>
      <c r="P165" s="160"/>
      <c r="Q165" s="160"/>
      <c r="R165" s="161"/>
      <c r="S165" s="161"/>
    </row>
    <row r="166" spans="5:19">
      <c r="E166" s="160"/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1"/>
      <c r="S166" s="161"/>
    </row>
    <row r="167" spans="5:19"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1"/>
      <c r="S167" s="161"/>
    </row>
    <row r="168" spans="5:19"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1"/>
      <c r="S168" s="161"/>
    </row>
    <row r="169" spans="5:19"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1"/>
      <c r="S169" s="161"/>
    </row>
    <row r="170" spans="5:19"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1"/>
      <c r="S170" s="161"/>
    </row>
    <row r="171" spans="5:19"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1"/>
      <c r="S171" s="161"/>
    </row>
    <row r="172" spans="5:19"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1"/>
      <c r="S172" s="161"/>
    </row>
    <row r="173" spans="5:19"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1"/>
      <c r="S173" s="161"/>
    </row>
    <row r="174" spans="5:19"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1"/>
      <c r="S174" s="161"/>
    </row>
    <row r="175" spans="5:19"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1"/>
      <c r="S175" s="161"/>
    </row>
    <row r="176" spans="5:19"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1"/>
      <c r="S176" s="161"/>
    </row>
    <row r="177" spans="5:19"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1"/>
      <c r="S177" s="161"/>
    </row>
    <row r="178" spans="5:19"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1"/>
      <c r="S178" s="161"/>
    </row>
    <row r="179" spans="5:19"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1"/>
      <c r="S179" s="161"/>
    </row>
    <row r="180" spans="5:19"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1"/>
      <c r="S180" s="161"/>
    </row>
    <row r="181" spans="5:19"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1"/>
      <c r="S181" s="161"/>
    </row>
    <row r="182" spans="5:19"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</row>
    <row r="183" spans="5:19">
      <c r="E183" s="161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</row>
    <row r="184" spans="5:19"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</row>
    <row r="185" spans="5:19"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  <c r="P185" s="161"/>
      <c r="Q185" s="161"/>
      <c r="R185" s="161"/>
      <c r="S185" s="161"/>
    </row>
  </sheetData>
  <mergeCells count="18"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  <mergeCell ref="F153:G153"/>
    <mergeCell ref="I153:K153"/>
    <mergeCell ref="M153:N153"/>
    <mergeCell ref="F155:H155"/>
    <mergeCell ref="F156:H156"/>
  </mergeCells>
  <dataValidations count="2">
    <dataValidation allowBlank="1" showInputMessage="1" promptTitle="Ввод" prompt="Для выбора организации необходимо два раза нажать левую клавишу мыши!" sqref="E42 E25:E26 E81 E64:E65"/>
    <dataValidation type="decimal" allowBlank="1" showErrorMessage="1" errorTitle="Ошибка" error="Допускается ввод только действительных чисел!" sqref="G62:K65 G93:K95 G67:K81 G15:K18 G83:K91 G97:K128 G23:K26 G44:K52 G28:K42 G130:K150 G59:K60 G20:K21 G54:K57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CC185"/>
  <sheetViews>
    <sheetView topLeftCell="C121" workbookViewId="0">
      <selection activeCell="J150" sqref="J150"/>
    </sheetView>
  </sheetViews>
  <sheetFormatPr defaultRowHeight="11.25"/>
  <cols>
    <col min="1" max="2" width="9.140625" style="125" hidden="1" customWidth="1"/>
    <col min="3" max="3" width="4.140625" style="125" customWidth="1"/>
    <col min="4" max="4" width="9.140625" style="125" customWidth="1"/>
    <col min="5" max="5" width="69" style="125" customWidth="1"/>
    <col min="6" max="6" width="6.7109375" style="125" customWidth="1"/>
    <col min="7" max="11" width="15.7109375" style="125" customWidth="1"/>
    <col min="12" max="12" width="6.7109375" style="125" customWidth="1"/>
    <col min="13" max="16" width="15.7109375" style="125" customWidth="1"/>
    <col min="17" max="35" width="11.7109375" style="125" customWidth="1"/>
    <col min="36" max="16384" width="9.140625" style="125"/>
  </cols>
  <sheetData>
    <row r="1" spans="1:81" hidden="1">
      <c r="S1" s="126"/>
      <c r="T1" s="126"/>
      <c r="U1" s="126"/>
      <c r="V1" s="126"/>
      <c r="Y1" s="126"/>
      <c r="AA1" s="126"/>
      <c r="AN1" s="126"/>
      <c r="AO1" s="126"/>
      <c r="AP1" s="126"/>
      <c r="BC1" s="126"/>
      <c r="BF1" s="126"/>
      <c r="BG1" s="126"/>
      <c r="BI1" s="126"/>
      <c r="BM1" s="126"/>
      <c r="BO1" s="126"/>
      <c r="BX1" s="126"/>
      <c r="BY1" s="126"/>
      <c r="CC1" s="126"/>
    </row>
    <row r="2" spans="1:81" hidden="1"/>
    <row r="3" spans="1:81" hidden="1"/>
    <row r="4" spans="1:81" hidden="1">
      <c r="A4" s="127"/>
      <c r="F4" s="128"/>
      <c r="G4" s="128"/>
      <c r="H4" s="128"/>
      <c r="I4" s="128"/>
      <c r="J4" s="128"/>
      <c r="K4" s="128"/>
      <c r="M4" s="128"/>
      <c r="N4" s="128"/>
      <c r="O4" s="128"/>
      <c r="P4" s="128"/>
      <c r="Q4" s="128"/>
    </row>
    <row r="5" spans="1:81" hidden="1">
      <c r="A5" s="129"/>
      <c r="F5" s="125" t="s">
        <v>142</v>
      </c>
      <c r="G5" s="125" t="s">
        <v>143</v>
      </c>
      <c r="H5" s="125" t="s">
        <v>144</v>
      </c>
      <c r="I5" s="125" t="s">
        <v>145</v>
      </c>
      <c r="J5" s="125" t="s">
        <v>146</v>
      </c>
      <c r="K5" s="125" t="s">
        <v>147</v>
      </c>
      <c r="L5" s="125" t="s">
        <v>148</v>
      </c>
      <c r="M5" s="125" t="s">
        <v>149</v>
      </c>
      <c r="N5" s="125" t="s">
        <v>149</v>
      </c>
      <c r="O5" s="125" t="s">
        <v>150</v>
      </c>
      <c r="P5" s="125" t="s">
        <v>151</v>
      </c>
      <c r="Q5" s="125" t="s">
        <v>152</v>
      </c>
    </row>
    <row r="6" spans="1:81" hidden="1">
      <c r="A6" s="129"/>
    </row>
    <row r="7" spans="1:81" ht="12" customHeight="1">
      <c r="A7" s="129"/>
      <c r="D7" s="130"/>
      <c r="E7" s="130"/>
      <c r="F7" s="130"/>
      <c r="G7" s="130"/>
      <c r="H7" s="130"/>
      <c r="I7" s="130"/>
      <c r="J7" s="130"/>
      <c r="K7" s="131"/>
      <c r="Q7" s="132"/>
    </row>
    <row r="8" spans="1:81" ht="22.5" customHeight="1">
      <c r="A8" s="129"/>
      <c r="D8" s="183" t="s">
        <v>153</v>
      </c>
      <c r="E8" s="18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</row>
    <row r="9" spans="1:81">
      <c r="A9" s="129"/>
      <c r="D9" s="134" t="s">
        <v>120</v>
      </c>
      <c r="E9" s="134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</row>
    <row r="10" spans="1:81" ht="12" customHeight="1">
      <c r="D10" s="135"/>
      <c r="E10" s="135"/>
      <c r="F10" s="130"/>
      <c r="G10" s="130"/>
      <c r="H10" s="130"/>
      <c r="I10" s="130"/>
      <c r="K10" s="136" t="s">
        <v>132</v>
      </c>
    </row>
    <row r="11" spans="1:81" ht="15" customHeight="1">
      <c r="C11" s="130"/>
      <c r="D11" s="172" t="s">
        <v>140</v>
      </c>
      <c r="E11" s="185" t="s">
        <v>154</v>
      </c>
      <c r="F11" s="185" t="s">
        <v>133</v>
      </c>
      <c r="G11" s="185" t="s">
        <v>155</v>
      </c>
      <c r="H11" s="185" t="s">
        <v>156</v>
      </c>
      <c r="I11" s="185"/>
      <c r="J11" s="185"/>
      <c r="K11" s="187"/>
      <c r="L11" s="137"/>
    </row>
    <row r="12" spans="1:81" ht="15" customHeight="1">
      <c r="C12" s="130"/>
      <c r="D12" s="184"/>
      <c r="E12" s="186"/>
      <c r="F12" s="186"/>
      <c r="G12" s="186"/>
      <c r="H12" s="168" t="s">
        <v>134</v>
      </c>
      <c r="I12" s="168" t="s">
        <v>135</v>
      </c>
      <c r="J12" s="168" t="s">
        <v>136</v>
      </c>
      <c r="K12" s="139" t="s">
        <v>137</v>
      </c>
      <c r="L12" s="137"/>
    </row>
    <row r="13" spans="1:81" ht="12" customHeight="1">
      <c r="D13" s="25">
        <v>0</v>
      </c>
      <c r="E13" s="25">
        <v>1</v>
      </c>
      <c r="F13" s="25">
        <v>2</v>
      </c>
      <c r="G13" s="25">
        <v>3</v>
      </c>
      <c r="H13" s="25">
        <v>4</v>
      </c>
      <c r="I13" s="25">
        <v>5</v>
      </c>
      <c r="J13" s="25">
        <v>6</v>
      </c>
      <c r="K13" s="25">
        <v>7</v>
      </c>
    </row>
    <row r="14" spans="1:81" s="140" customFormat="1" ht="15" customHeight="1">
      <c r="C14" s="141"/>
      <c r="D14" s="174" t="s">
        <v>200</v>
      </c>
      <c r="E14" s="175"/>
      <c r="F14" s="175"/>
      <c r="G14" s="175"/>
      <c r="H14" s="175"/>
      <c r="I14" s="175"/>
      <c r="J14" s="175"/>
      <c r="K14" s="176"/>
      <c r="L14" s="142"/>
    </row>
    <row r="15" spans="1:81" s="140" customFormat="1" ht="15" customHeight="1">
      <c r="C15" s="141"/>
      <c r="D15" s="106" t="s">
        <v>370</v>
      </c>
      <c r="E15" s="88" t="s">
        <v>498</v>
      </c>
      <c r="F15" s="68">
        <v>10</v>
      </c>
      <c r="G15" s="143">
        <f>SUM(H15:K15)</f>
        <v>6719.1619999999994</v>
      </c>
      <c r="H15" s="143">
        <f>H16+H17+H20+H23</f>
        <v>1000.888</v>
      </c>
      <c r="I15" s="143">
        <f>I16+I17+I20+I23</f>
        <v>4125.8999999999996</v>
      </c>
      <c r="J15" s="143">
        <f>J16+J17+J20+J23</f>
        <v>1592.374</v>
      </c>
      <c r="K15" s="143">
        <f>K16+K17+K20+K23</f>
        <v>0</v>
      </c>
      <c r="L15" s="142"/>
      <c r="M15" s="52"/>
      <c r="P15" s="115">
        <v>10</v>
      </c>
    </row>
    <row r="16" spans="1:81" s="140" customFormat="1" ht="15" customHeight="1">
      <c r="C16" s="141"/>
      <c r="D16" s="106" t="s">
        <v>371</v>
      </c>
      <c r="E16" s="67" t="s">
        <v>210</v>
      </c>
      <c r="F16" s="68">
        <v>20</v>
      </c>
      <c r="G16" s="143">
        <f t="shared" ref="G16:G136" si="0">SUM(H16:K16)</f>
        <v>0</v>
      </c>
      <c r="H16" s="122"/>
      <c r="I16" s="122"/>
      <c r="J16" s="122"/>
      <c r="K16" s="122"/>
      <c r="L16" s="142"/>
      <c r="M16" s="52"/>
      <c r="P16" s="115">
        <v>20</v>
      </c>
    </row>
    <row r="17" spans="3:16" s="140" customFormat="1" ht="12.75">
      <c r="C17" s="141"/>
      <c r="D17" s="106" t="s">
        <v>372</v>
      </c>
      <c r="E17" s="67" t="s">
        <v>499</v>
      </c>
      <c r="F17" s="68">
        <v>30</v>
      </c>
      <c r="G17" s="143">
        <f t="shared" si="0"/>
        <v>0</v>
      </c>
      <c r="H17" s="143">
        <f>SUM(H18:H19)</f>
        <v>0</v>
      </c>
      <c r="I17" s="143">
        <f>SUM(I18:I19)</f>
        <v>0</v>
      </c>
      <c r="J17" s="143">
        <f>SUM(J18:J19)</f>
        <v>0</v>
      </c>
      <c r="K17" s="143">
        <f>SUM(K18:K19)</f>
        <v>0</v>
      </c>
      <c r="L17" s="142"/>
      <c r="M17" s="52"/>
      <c r="P17" s="115">
        <v>30</v>
      </c>
    </row>
    <row r="18" spans="3:16" s="140" customFormat="1" ht="12.75">
      <c r="C18" s="141"/>
      <c r="D18" s="113" t="s">
        <v>480</v>
      </c>
      <c r="E18" s="144"/>
      <c r="F18" s="84" t="s">
        <v>336</v>
      </c>
      <c r="G18" s="145"/>
      <c r="H18" s="145"/>
      <c r="I18" s="145"/>
      <c r="J18" s="145"/>
      <c r="K18" s="145"/>
      <c r="L18" s="142"/>
      <c r="M18" s="52"/>
      <c r="P18" s="115"/>
    </row>
    <row r="19" spans="3:16" s="140" customFormat="1" ht="12.75">
      <c r="C19" s="141"/>
      <c r="D19" s="108"/>
      <c r="E19" s="104" t="s">
        <v>334</v>
      </c>
      <c r="F19" s="73"/>
      <c r="G19" s="73"/>
      <c r="H19" s="73"/>
      <c r="I19" s="73"/>
      <c r="J19" s="73"/>
      <c r="K19" s="74"/>
      <c r="L19" s="142"/>
      <c r="M19" s="52"/>
      <c r="P19" s="116"/>
    </row>
    <row r="20" spans="3:16" s="140" customFormat="1" ht="12.75">
      <c r="C20" s="141"/>
      <c r="D20" s="106" t="s">
        <v>373</v>
      </c>
      <c r="E20" s="67" t="s">
        <v>500</v>
      </c>
      <c r="F20" s="68" t="s">
        <v>211</v>
      </c>
      <c r="G20" s="143">
        <f t="shared" si="0"/>
        <v>0</v>
      </c>
      <c r="H20" s="143">
        <f>SUM(H21:H22)</f>
        <v>0</v>
      </c>
      <c r="I20" s="143">
        <f>SUM(I21:I22)</f>
        <v>0</v>
      </c>
      <c r="J20" s="143">
        <f>SUM(J21:J22)</f>
        <v>0</v>
      </c>
      <c r="K20" s="143">
        <f>SUM(K21:K22)</f>
        <v>0</v>
      </c>
      <c r="L20" s="142"/>
      <c r="M20" s="52"/>
      <c r="P20" s="116"/>
    </row>
    <row r="21" spans="3:16" s="140" customFormat="1" ht="12.75">
      <c r="C21" s="141"/>
      <c r="D21" s="113" t="s">
        <v>481</v>
      </c>
      <c r="E21" s="144"/>
      <c r="F21" s="84" t="s">
        <v>211</v>
      </c>
      <c r="G21" s="145"/>
      <c r="H21" s="145"/>
      <c r="I21" s="145"/>
      <c r="J21" s="145"/>
      <c r="K21" s="145"/>
      <c r="L21" s="142"/>
      <c r="M21" s="52"/>
      <c r="P21" s="115"/>
    </row>
    <row r="22" spans="3:16" s="140" customFormat="1" ht="12.75">
      <c r="C22" s="141"/>
      <c r="D22" s="108"/>
      <c r="E22" s="104" t="s">
        <v>334</v>
      </c>
      <c r="F22" s="73"/>
      <c r="G22" s="73"/>
      <c r="H22" s="73"/>
      <c r="I22" s="73"/>
      <c r="J22" s="73"/>
      <c r="K22" s="74"/>
      <c r="L22" s="142"/>
      <c r="M22" s="52"/>
      <c r="P22" s="116"/>
    </row>
    <row r="23" spans="3:16" s="140" customFormat="1" ht="12.75">
      <c r="C23" s="141"/>
      <c r="D23" s="106" t="s">
        <v>374</v>
      </c>
      <c r="E23" s="67" t="s">
        <v>501</v>
      </c>
      <c r="F23" s="68" t="s">
        <v>212</v>
      </c>
      <c r="G23" s="143">
        <f t="shared" si="0"/>
        <v>6719.1619999999994</v>
      </c>
      <c r="H23" s="143">
        <f>SUM(H24:H27)</f>
        <v>1000.888</v>
      </c>
      <c r="I23" s="143">
        <f>SUM(I24:I27)</f>
        <v>4125.8999999999996</v>
      </c>
      <c r="J23" s="143">
        <f>SUM(J24:J27)</f>
        <v>1592.374</v>
      </c>
      <c r="K23" s="143">
        <f>SUM(K24:K27)</f>
        <v>0</v>
      </c>
      <c r="L23" s="142"/>
      <c r="M23" s="52"/>
      <c r="P23" s="115">
        <v>40</v>
      </c>
    </row>
    <row r="24" spans="3:16" s="140" customFormat="1" ht="12.75">
      <c r="C24" s="141"/>
      <c r="D24" s="113" t="s">
        <v>482</v>
      </c>
      <c r="E24" s="144"/>
      <c r="F24" s="84" t="s">
        <v>212</v>
      </c>
      <c r="G24" s="145"/>
      <c r="H24" s="145"/>
      <c r="I24" s="145"/>
      <c r="J24" s="145"/>
      <c r="K24" s="145"/>
      <c r="L24" s="142"/>
      <c r="M24" s="52"/>
      <c r="P24" s="115"/>
    </row>
    <row r="25" spans="3:16" s="140" customFormat="1" ht="14.25">
      <c r="C25" s="121" t="s">
        <v>0</v>
      </c>
      <c r="D25" s="146" t="s">
        <v>1874</v>
      </c>
      <c r="E25" s="82" t="s">
        <v>2047</v>
      </c>
      <c r="F25" s="79">
        <v>431</v>
      </c>
      <c r="G25" s="147">
        <f>SUM(H25:K25)</f>
        <v>5681.1129999999994</v>
      </c>
      <c r="H25" s="148">
        <v>1000.888</v>
      </c>
      <c r="I25" s="148">
        <v>4125.8999999999996</v>
      </c>
      <c r="J25" s="148">
        <v>554.32500000000005</v>
      </c>
      <c r="K25" s="149"/>
      <c r="L25" s="142"/>
      <c r="M25" s="85" t="s">
        <v>1842</v>
      </c>
      <c r="N25" s="86" t="s">
        <v>1438</v>
      </c>
      <c r="O25" s="86" t="s">
        <v>1841</v>
      </c>
    </row>
    <row r="26" spans="3:16" s="140" customFormat="1" ht="14.25">
      <c r="C26" s="121" t="s">
        <v>0</v>
      </c>
      <c r="D26" s="146" t="s">
        <v>2072</v>
      </c>
      <c r="E26" s="82" t="s">
        <v>1467</v>
      </c>
      <c r="F26" s="79">
        <v>432</v>
      </c>
      <c r="G26" s="147">
        <f>SUM(H26:K26)</f>
        <v>1038.049</v>
      </c>
      <c r="H26" s="148"/>
      <c r="I26" s="148"/>
      <c r="J26" s="148">
        <v>1038.049</v>
      </c>
      <c r="K26" s="149"/>
      <c r="L26" s="142"/>
      <c r="M26" s="85" t="s">
        <v>1468</v>
      </c>
      <c r="N26" s="86" t="s">
        <v>1438</v>
      </c>
      <c r="O26" s="86" t="s">
        <v>1466</v>
      </c>
    </row>
    <row r="27" spans="3:16" s="140" customFormat="1" ht="12.75">
      <c r="C27" s="141"/>
      <c r="D27" s="108"/>
      <c r="E27" s="104" t="s">
        <v>334</v>
      </c>
      <c r="F27" s="73"/>
      <c r="G27" s="73"/>
      <c r="H27" s="73"/>
      <c r="I27" s="73"/>
      <c r="J27" s="73"/>
      <c r="K27" s="74"/>
      <c r="L27" s="142"/>
      <c r="M27" s="52"/>
      <c r="P27" s="115"/>
    </row>
    <row r="28" spans="3:16" s="140" customFormat="1" ht="12.75">
      <c r="C28" s="141"/>
      <c r="D28" s="106" t="s">
        <v>375</v>
      </c>
      <c r="E28" s="88" t="s">
        <v>157</v>
      </c>
      <c r="F28" s="68" t="s">
        <v>213</v>
      </c>
      <c r="G28" s="143">
        <f t="shared" si="0"/>
        <v>3115.2109999999998</v>
      </c>
      <c r="H28" s="143">
        <f>H30+H31+H32</f>
        <v>0</v>
      </c>
      <c r="I28" s="143">
        <f>I29+I31+I32</f>
        <v>0</v>
      </c>
      <c r="J28" s="143">
        <f>J29+J30+J32</f>
        <v>1976.1389999999997</v>
      </c>
      <c r="K28" s="143">
        <f>K29+K30+K31</f>
        <v>1139.0720000000001</v>
      </c>
      <c r="L28" s="142"/>
      <c r="M28" s="52"/>
      <c r="P28" s="115">
        <v>50</v>
      </c>
    </row>
    <row r="29" spans="3:16" s="140" customFormat="1" ht="12.75">
      <c r="C29" s="141"/>
      <c r="D29" s="106" t="s">
        <v>376</v>
      </c>
      <c r="E29" s="67" t="s">
        <v>134</v>
      </c>
      <c r="F29" s="68" t="s">
        <v>214</v>
      </c>
      <c r="G29" s="143">
        <f t="shared" si="0"/>
        <v>1000.717</v>
      </c>
      <c r="H29" s="150"/>
      <c r="I29" s="122"/>
      <c r="J29" s="122">
        <f>H45</f>
        <v>1000.717</v>
      </c>
      <c r="K29" s="122"/>
      <c r="L29" s="142"/>
      <c r="M29" s="52"/>
      <c r="P29" s="115">
        <v>60</v>
      </c>
    </row>
    <row r="30" spans="3:16" s="140" customFormat="1" ht="12.75">
      <c r="C30" s="141"/>
      <c r="D30" s="106" t="s">
        <v>377</v>
      </c>
      <c r="E30" s="67" t="s">
        <v>135</v>
      </c>
      <c r="F30" s="68" t="s">
        <v>215</v>
      </c>
      <c r="G30" s="143">
        <f t="shared" si="0"/>
        <v>975.42199999999957</v>
      </c>
      <c r="H30" s="122"/>
      <c r="I30" s="150"/>
      <c r="J30" s="122">
        <f>I25-I34-I48</f>
        <v>975.42199999999957</v>
      </c>
      <c r="K30" s="122"/>
      <c r="L30" s="142"/>
      <c r="M30" s="52"/>
      <c r="P30" s="115">
        <v>70</v>
      </c>
    </row>
    <row r="31" spans="3:16" s="140" customFormat="1" ht="12.75">
      <c r="C31" s="141"/>
      <c r="D31" s="106" t="s">
        <v>378</v>
      </c>
      <c r="E31" s="67" t="s">
        <v>136</v>
      </c>
      <c r="F31" s="68" t="s">
        <v>216</v>
      </c>
      <c r="G31" s="143">
        <f t="shared" si="0"/>
        <v>1139.0720000000001</v>
      </c>
      <c r="H31" s="122"/>
      <c r="I31" s="122"/>
      <c r="J31" s="150"/>
      <c r="K31" s="122">
        <f>J23+J28+J17-J48-J34</f>
        <v>1139.0720000000001</v>
      </c>
      <c r="L31" s="142"/>
      <c r="M31" s="52"/>
      <c r="P31" s="115">
        <v>80</v>
      </c>
    </row>
    <row r="32" spans="3:16" s="140" customFormat="1" ht="12.75">
      <c r="C32" s="141"/>
      <c r="D32" s="106" t="s">
        <v>379</v>
      </c>
      <c r="E32" s="67" t="s">
        <v>158</v>
      </c>
      <c r="F32" s="68" t="s">
        <v>217</v>
      </c>
      <c r="G32" s="143">
        <f t="shared" si="0"/>
        <v>0</v>
      </c>
      <c r="H32" s="122"/>
      <c r="I32" s="122"/>
      <c r="J32" s="122"/>
      <c r="K32" s="150"/>
      <c r="L32" s="142"/>
      <c r="M32" s="52"/>
      <c r="P32" s="115">
        <v>90</v>
      </c>
    </row>
    <row r="33" spans="3:16" s="140" customFormat="1" ht="12.75">
      <c r="C33" s="141"/>
      <c r="D33" s="106" t="s">
        <v>380</v>
      </c>
      <c r="E33" s="89" t="s">
        <v>161</v>
      </c>
      <c r="F33" s="68" t="s">
        <v>218</v>
      </c>
      <c r="G33" s="143">
        <f t="shared" si="0"/>
        <v>0</v>
      </c>
      <c r="H33" s="122"/>
      <c r="I33" s="122"/>
      <c r="J33" s="122"/>
      <c r="K33" s="122"/>
      <c r="L33" s="142"/>
      <c r="M33" s="52"/>
      <c r="P33" s="115"/>
    </row>
    <row r="34" spans="3:16" s="140" customFormat="1" ht="12.75">
      <c r="C34" s="141"/>
      <c r="D34" s="106" t="s">
        <v>381</v>
      </c>
      <c r="E34" s="88" t="s">
        <v>502</v>
      </c>
      <c r="F34" s="109" t="s">
        <v>219</v>
      </c>
      <c r="G34" s="143">
        <f t="shared" si="0"/>
        <v>6666.1709999999994</v>
      </c>
      <c r="H34" s="143">
        <f>H35+H37+H40+H44</f>
        <v>0</v>
      </c>
      <c r="I34" s="143">
        <f>I35+I37+I40+I44</f>
        <v>3150.384</v>
      </c>
      <c r="J34" s="143">
        <f>J35+J37+J40+J44</f>
        <v>2414.6039999999998</v>
      </c>
      <c r="K34" s="143">
        <f>K35+K37+K40+K44</f>
        <v>1101.183</v>
      </c>
      <c r="L34" s="142"/>
      <c r="M34" s="52"/>
      <c r="P34" s="115">
        <v>100</v>
      </c>
    </row>
    <row r="35" spans="3:16" s="140" customFormat="1" ht="22.5">
      <c r="C35" s="141"/>
      <c r="D35" s="106" t="s">
        <v>382</v>
      </c>
      <c r="E35" s="67" t="s">
        <v>503</v>
      </c>
      <c r="F35" s="68" t="s">
        <v>220</v>
      </c>
      <c r="G35" s="143">
        <f t="shared" si="0"/>
        <v>0</v>
      </c>
      <c r="H35" s="122"/>
      <c r="I35" s="122"/>
      <c r="J35" s="122"/>
      <c r="K35" s="122"/>
      <c r="L35" s="142"/>
      <c r="M35" s="52"/>
      <c r="P35" s="115"/>
    </row>
    <row r="36" spans="3:16" s="140" customFormat="1" ht="12.75">
      <c r="C36" s="141"/>
      <c r="D36" s="106" t="s">
        <v>486</v>
      </c>
      <c r="E36" s="69" t="s">
        <v>476</v>
      </c>
      <c r="F36" s="68" t="s">
        <v>223</v>
      </c>
      <c r="G36" s="143">
        <f t="shared" si="0"/>
        <v>0</v>
      </c>
      <c r="H36" s="122"/>
      <c r="I36" s="122"/>
      <c r="J36" s="122"/>
      <c r="K36" s="122"/>
      <c r="L36" s="142"/>
      <c r="M36" s="52"/>
      <c r="P36" s="115"/>
    </row>
    <row r="37" spans="3:16" s="140" customFormat="1" ht="12.75">
      <c r="C37" s="141"/>
      <c r="D37" s="106" t="s">
        <v>383</v>
      </c>
      <c r="E37" s="67" t="s">
        <v>221</v>
      </c>
      <c r="F37" s="68" t="s">
        <v>224</v>
      </c>
      <c r="G37" s="143">
        <f t="shared" si="0"/>
        <v>4194.6289999999999</v>
      </c>
      <c r="H37" s="122">
        <v>0</v>
      </c>
      <c r="I37" s="122">
        <f>3150.384-I42</f>
        <v>678.8420000000001</v>
      </c>
      <c r="J37" s="122">
        <v>2414.6039999999998</v>
      </c>
      <c r="K37" s="122">
        <v>1101.183</v>
      </c>
      <c r="L37" s="142"/>
      <c r="M37" s="52"/>
      <c r="P37" s="115"/>
    </row>
    <row r="38" spans="3:16" s="140" customFormat="1" ht="12.75">
      <c r="C38" s="141"/>
      <c r="D38" s="106" t="s">
        <v>487</v>
      </c>
      <c r="E38" s="69" t="s">
        <v>504</v>
      </c>
      <c r="F38" s="68" t="s">
        <v>225</v>
      </c>
      <c r="G38" s="143">
        <f t="shared" si="0"/>
        <v>0</v>
      </c>
      <c r="H38" s="122"/>
      <c r="I38" s="122"/>
      <c r="J38" s="122"/>
      <c r="K38" s="122"/>
      <c r="L38" s="142"/>
      <c r="M38" s="52"/>
      <c r="P38" s="115"/>
    </row>
    <row r="39" spans="3:16" s="140" customFormat="1" ht="12.75">
      <c r="C39" s="141"/>
      <c r="D39" s="106" t="s">
        <v>488</v>
      </c>
      <c r="E39" s="71" t="s">
        <v>476</v>
      </c>
      <c r="F39" s="68" t="s">
        <v>226</v>
      </c>
      <c r="G39" s="143">
        <f t="shared" si="0"/>
        <v>0</v>
      </c>
      <c r="H39" s="122"/>
      <c r="I39" s="122"/>
      <c r="J39" s="122"/>
      <c r="K39" s="122"/>
      <c r="L39" s="142"/>
      <c r="M39" s="52"/>
      <c r="P39" s="115"/>
    </row>
    <row r="40" spans="3:16" s="140" customFormat="1" ht="12.75">
      <c r="C40" s="141"/>
      <c r="D40" s="106" t="s">
        <v>384</v>
      </c>
      <c r="E40" s="67" t="s">
        <v>505</v>
      </c>
      <c r="F40" s="68" t="s">
        <v>227</v>
      </c>
      <c r="G40" s="143">
        <f t="shared" si="0"/>
        <v>2471.5419999999999</v>
      </c>
      <c r="H40" s="143">
        <f>SUM(H41:H43)</f>
        <v>0</v>
      </c>
      <c r="I40" s="143">
        <f>SUM(I41:I43)</f>
        <v>2471.5419999999999</v>
      </c>
      <c r="J40" s="143">
        <f>SUM(J41:J43)</f>
        <v>0</v>
      </c>
      <c r="K40" s="143">
        <f>SUM(K41:K43)</f>
        <v>0</v>
      </c>
      <c r="L40" s="142"/>
      <c r="M40" s="52"/>
      <c r="P40" s="115"/>
    </row>
    <row r="41" spans="3:16" s="140" customFormat="1" ht="12.75">
      <c r="C41" s="141"/>
      <c r="D41" s="113" t="s">
        <v>496</v>
      </c>
      <c r="E41" s="144"/>
      <c r="F41" s="84" t="s">
        <v>227</v>
      </c>
      <c r="G41" s="145"/>
      <c r="H41" s="145"/>
      <c r="I41" s="145"/>
      <c r="J41" s="145"/>
      <c r="K41" s="145"/>
      <c r="L41" s="142"/>
      <c r="M41" s="52"/>
      <c r="P41" s="115"/>
    </row>
    <row r="42" spans="3:16" s="140" customFormat="1" ht="14.25">
      <c r="C42" s="121" t="s">
        <v>0</v>
      </c>
      <c r="D42" s="146" t="s">
        <v>1875</v>
      </c>
      <c r="E42" s="82" t="s">
        <v>1467</v>
      </c>
      <c r="F42" s="79">
        <v>751</v>
      </c>
      <c r="G42" s="147">
        <f>SUM(H42:K42)</f>
        <v>2471.5419999999999</v>
      </c>
      <c r="H42" s="148"/>
      <c r="I42" s="148">
        <v>2471.5419999999999</v>
      </c>
      <c r="J42" s="148"/>
      <c r="K42" s="149"/>
      <c r="L42" s="142"/>
      <c r="M42" s="85" t="s">
        <v>1468</v>
      </c>
      <c r="N42" s="86" t="s">
        <v>1451</v>
      </c>
      <c r="O42" s="86" t="s">
        <v>1466</v>
      </c>
    </row>
    <row r="43" spans="3:16" s="140" customFormat="1" ht="12.75">
      <c r="C43" s="141"/>
      <c r="D43" s="76"/>
      <c r="E43" s="104" t="s">
        <v>334</v>
      </c>
      <c r="F43" s="73"/>
      <c r="G43" s="73"/>
      <c r="H43" s="73"/>
      <c r="I43" s="73"/>
      <c r="J43" s="73"/>
      <c r="K43" s="74"/>
      <c r="L43" s="142"/>
      <c r="M43" s="52"/>
      <c r="P43" s="115"/>
    </row>
    <row r="44" spans="3:16" s="140" customFormat="1" ht="12.75">
      <c r="C44" s="141"/>
      <c r="D44" s="106" t="s">
        <v>385</v>
      </c>
      <c r="E44" s="105" t="s">
        <v>477</v>
      </c>
      <c r="F44" s="68" t="s">
        <v>228</v>
      </c>
      <c r="G44" s="143">
        <f t="shared" si="0"/>
        <v>0</v>
      </c>
      <c r="H44" s="122"/>
      <c r="I44" s="122"/>
      <c r="J44" s="122"/>
      <c r="K44" s="122"/>
      <c r="L44" s="142"/>
      <c r="M44" s="52"/>
      <c r="P44" s="115">
        <v>120</v>
      </c>
    </row>
    <row r="45" spans="3:16" s="140" customFormat="1" ht="12.75">
      <c r="C45" s="141"/>
      <c r="D45" s="106" t="s">
        <v>386</v>
      </c>
      <c r="E45" s="88" t="s">
        <v>159</v>
      </c>
      <c r="F45" s="68" t="s">
        <v>229</v>
      </c>
      <c r="G45" s="143">
        <f t="shared" si="0"/>
        <v>3115.2109999999998</v>
      </c>
      <c r="H45" s="122">
        <f>H25-H48-H34</f>
        <v>1000.717</v>
      </c>
      <c r="I45" s="122">
        <f>I15-I34-I48</f>
        <v>975.42199999999957</v>
      </c>
      <c r="J45" s="122">
        <f>J23+J28+J17-J34-J48</f>
        <v>1139.0720000000001</v>
      </c>
      <c r="K45" s="122">
        <f>K31-K34-K48</f>
        <v>1.2079226507921703E-13</v>
      </c>
      <c r="L45" s="142"/>
      <c r="M45" s="52"/>
      <c r="P45" s="115">
        <v>150</v>
      </c>
    </row>
    <row r="46" spans="3:16" s="140" customFormat="1" ht="12.75">
      <c r="C46" s="141"/>
      <c r="D46" s="106" t="s">
        <v>387</v>
      </c>
      <c r="E46" s="88" t="s">
        <v>160</v>
      </c>
      <c r="F46" s="68" t="s">
        <v>230</v>
      </c>
      <c r="G46" s="143">
        <f t="shared" si="0"/>
        <v>0</v>
      </c>
      <c r="H46" s="122"/>
      <c r="I46" s="122"/>
      <c r="J46" s="122"/>
      <c r="K46" s="122"/>
      <c r="L46" s="142"/>
      <c r="M46" s="52"/>
      <c r="P46" s="115">
        <v>160</v>
      </c>
    </row>
    <row r="47" spans="3:16" s="140" customFormat="1" ht="12.75">
      <c r="C47" s="141"/>
      <c r="D47" s="106" t="s">
        <v>388</v>
      </c>
      <c r="E47" s="88" t="s">
        <v>162</v>
      </c>
      <c r="F47" s="68" t="s">
        <v>231</v>
      </c>
      <c r="G47" s="143">
        <f t="shared" si="0"/>
        <v>0</v>
      </c>
      <c r="H47" s="122"/>
      <c r="I47" s="122"/>
      <c r="J47" s="122"/>
      <c r="K47" s="122"/>
      <c r="L47" s="142"/>
      <c r="M47" s="52"/>
      <c r="P47" s="115">
        <v>180</v>
      </c>
    </row>
    <row r="48" spans="3:16" s="140" customFormat="1" ht="12.75">
      <c r="C48" s="141"/>
      <c r="D48" s="106" t="s">
        <v>389</v>
      </c>
      <c r="E48" s="88" t="s">
        <v>473</v>
      </c>
      <c r="F48" s="68" t="s">
        <v>232</v>
      </c>
      <c r="G48" s="143">
        <f t="shared" si="0"/>
        <v>52.991</v>
      </c>
      <c r="H48" s="122">
        <v>0.17100000000000001</v>
      </c>
      <c r="I48" s="122">
        <v>9.4E-2</v>
      </c>
      <c r="J48" s="122">
        <v>14.837</v>
      </c>
      <c r="K48" s="122">
        <v>37.889000000000003</v>
      </c>
      <c r="L48" s="142"/>
      <c r="M48" s="52"/>
      <c r="P48" s="115">
        <v>190</v>
      </c>
    </row>
    <row r="49" spans="3:16" s="140" customFormat="1" ht="12.75">
      <c r="C49" s="141"/>
      <c r="D49" s="106" t="s">
        <v>390</v>
      </c>
      <c r="E49" s="67" t="s">
        <v>474</v>
      </c>
      <c r="F49" s="68" t="s">
        <v>234</v>
      </c>
      <c r="G49" s="143">
        <f t="shared" si="0"/>
        <v>0</v>
      </c>
      <c r="H49" s="122"/>
      <c r="I49" s="122"/>
      <c r="J49" s="122"/>
      <c r="K49" s="122"/>
      <c r="L49" s="142"/>
      <c r="M49" s="52"/>
      <c r="P49" s="115">
        <v>200</v>
      </c>
    </row>
    <row r="50" spans="3:16" s="140" customFormat="1" ht="22.5">
      <c r="C50" s="141"/>
      <c r="D50" s="106" t="s">
        <v>475</v>
      </c>
      <c r="E50" s="88" t="s">
        <v>417</v>
      </c>
      <c r="F50" s="68" t="s">
        <v>235</v>
      </c>
      <c r="G50" s="143">
        <f t="shared" si="0"/>
        <v>124.761</v>
      </c>
      <c r="H50" s="122"/>
      <c r="I50" s="122">
        <f>124.761*0.25776</f>
        <v>32.15839536</v>
      </c>
      <c r="J50" s="122">
        <f>124.761*0.37244</f>
        <v>46.465986839999999</v>
      </c>
      <c r="K50" s="122">
        <f>124.761*0.3698</f>
        <v>46.136617800000003</v>
      </c>
      <c r="L50" s="142"/>
      <c r="M50" s="52"/>
      <c r="P50" s="116"/>
    </row>
    <row r="51" spans="3:16" s="140" customFormat="1" ht="33.75">
      <c r="C51" s="141"/>
      <c r="D51" s="106" t="s">
        <v>391</v>
      </c>
      <c r="E51" s="89" t="s">
        <v>236</v>
      </c>
      <c r="F51" s="68" t="s">
        <v>237</v>
      </c>
      <c r="G51" s="143">
        <f t="shared" si="0"/>
        <v>-71.77</v>
      </c>
      <c r="H51" s="143">
        <f>H48-H50</f>
        <v>0.17100000000000001</v>
      </c>
      <c r="I51" s="143">
        <f>I48-I50</f>
        <v>-32.064395359999999</v>
      </c>
      <c r="J51" s="143">
        <f>J48-J50</f>
        <v>-31.62898684</v>
      </c>
      <c r="K51" s="143">
        <f>K48-K50</f>
        <v>-8.2476178000000004</v>
      </c>
      <c r="L51" s="142"/>
      <c r="M51" s="52"/>
      <c r="P51" s="116"/>
    </row>
    <row r="52" spans="3:16" s="140" customFormat="1" ht="12.75">
      <c r="C52" s="141"/>
      <c r="D52" s="106" t="s">
        <v>392</v>
      </c>
      <c r="E52" s="88" t="s">
        <v>163</v>
      </c>
      <c r="F52" s="68" t="s">
        <v>238</v>
      </c>
      <c r="G52" s="143">
        <f t="shared" si="0"/>
        <v>0</v>
      </c>
      <c r="H52" s="143">
        <f>(H15+H28+H33)-(H34+H45+H46+H47+H48)</f>
        <v>0</v>
      </c>
      <c r="I52" s="143">
        <f>(I15+I28+I33)-(I34+I45+I46+I47+I48)</f>
        <v>0</v>
      </c>
      <c r="J52" s="143">
        <f>(J15+J28+J33)-(J34+J45+J46+J47+J48)</f>
        <v>0</v>
      </c>
      <c r="K52" s="143">
        <f>(K15+K28+K33)-(K34+K45+K46+K47+K48)</f>
        <v>0</v>
      </c>
      <c r="L52" s="142"/>
      <c r="M52" s="52"/>
      <c r="P52" s="115">
        <v>210</v>
      </c>
    </row>
    <row r="53" spans="3:16" s="140" customFormat="1" ht="12.75">
      <c r="C53" s="141"/>
      <c r="D53" s="174" t="s">
        <v>201</v>
      </c>
      <c r="E53" s="175"/>
      <c r="F53" s="175"/>
      <c r="G53" s="175"/>
      <c r="H53" s="175"/>
      <c r="I53" s="175"/>
      <c r="J53" s="175"/>
      <c r="K53" s="176"/>
      <c r="L53" s="142"/>
      <c r="M53" s="52"/>
      <c r="P53" s="116"/>
    </row>
    <row r="54" spans="3:16" s="140" customFormat="1" ht="12.75">
      <c r="C54" s="141"/>
      <c r="D54" s="106" t="s">
        <v>393</v>
      </c>
      <c r="E54" s="88" t="s">
        <v>498</v>
      </c>
      <c r="F54" s="68" t="s">
        <v>239</v>
      </c>
      <c r="G54" s="143">
        <f t="shared" si="0"/>
        <v>9.3321694444444425</v>
      </c>
      <c r="H54" s="143">
        <f>H55+H56+H59+H62</f>
        <v>1.3901222222222223</v>
      </c>
      <c r="I54" s="143">
        <f>I55+I56+I59+I62</f>
        <v>5.7304166666666658</v>
      </c>
      <c r="J54" s="143">
        <f>J55+J56+J59+J62</f>
        <v>2.2116305555555558</v>
      </c>
      <c r="K54" s="143">
        <f>K55+K56+K59+K62</f>
        <v>0</v>
      </c>
      <c r="L54" s="142"/>
      <c r="M54" s="52"/>
      <c r="P54" s="115">
        <v>300</v>
      </c>
    </row>
    <row r="55" spans="3:16" s="140" customFormat="1" ht="12.75">
      <c r="C55" s="141"/>
      <c r="D55" s="106" t="s">
        <v>394</v>
      </c>
      <c r="E55" s="67" t="s">
        <v>210</v>
      </c>
      <c r="F55" s="68" t="s">
        <v>240</v>
      </c>
      <c r="G55" s="143">
        <f t="shared" si="0"/>
        <v>0</v>
      </c>
      <c r="H55" s="122"/>
      <c r="I55" s="122"/>
      <c r="J55" s="122"/>
      <c r="K55" s="122"/>
      <c r="L55" s="142"/>
      <c r="M55" s="52"/>
      <c r="P55" s="115">
        <v>310</v>
      </c>
    </row>
    <row r="56" spans="3:16" s="140" customFormat="1" ht="12.75">
      <c r="C56" s="141"/>
      <c r="D56" s="106" t="s">
        <v>395</v>
      </c>
      <c r="E56" s="67" t="s">
        <v>499</v>
      </c>
      <c r="F56" s="68" t="s">
        <v>241</v>
      </c>
      <c r="G56" s="143">
        <f t="shared" si="0"/>
        <v>0</v>
      </c>
      <c r="H56" s="143">
        <f>SUM(H57:H58)</f>
        <v>0</v>
      </c>
      <c r="I56" s="143">
        <f>SUM(I57:I58)</f>
        <v>0</v>
      </c>
      <c r="J56" s="143">
        <f>SUM(J57:J58)</f>
        <v>0</v>
      </c>
      <c r="K56" s="143">
        <f>SUM(K57:K58)</f>
        <v>0</v>
      </c>
      <c r="L56" s="142"/>
      <c r="M56" s="52"/>
      <c r="P56" s="115">
        <v>320</v>
      </c>
    </row>
    <row r="57" spans="3:16" s="140" customFormat="1" ht="12.75">
      <c r="C57" s="141"/>
      <c r="D57" s="113" t="s">
        <v>483</v>
      </c>
      <c r="E57" s="144"/>
      <c r="F57" s="84" t="s">
        <v>241</v>
      </c>
      <c r="G57" s="145"/>
      <c r="H57" s="145"/>
      <c r="I57" s="145"/>
      <c r="J57" s="145"/>
      <c r="K57" s="145"/>
      <c r="L57" s="142"/>
      <c r="M57" s="52"/>
      <c r="P57" s="115"/>
    </row>
    <row r="58" spans="3:16" s="140" customFormat="1" ht="12.75">
      <c r="C58" s="141"/>
      <c r="D58" s="108"/>
      <c r="E58" s="104" t="s">
        <v>334</v>
      </c>
      <c r="F58" s="73"/>
      <c r="G58" s="73"/>
      <c r="H58" s="73"/>
      <c r="I58" s="73"/>
      <c r="J58" s="73"/>
      <c r="K58" s="74"/>
      <c r="L58" s="142"/>
      <c r="M58" s="52"/>
      <c r="P58" s="115"/>
    </row>
    <row r="59" spans="3:16" s="140" customFormat="1" ht="12.75">
      <c r="C59" s="141"/>
      <c r="D59" s="106" t="s">
        <v>396</v>
      </c>
      <c r="E59" s="67" t="s">
        <v>500</v>
      </c>
      <c r="F59" s="68" t="s">
        <v>242</v>
      </c>
      <c r="G59" s="143">
        <f t="shared" si="0"/>
        <v>0</v>
      </c>
      <c r="H59" s="143">
        <f>SUM(H60:H61)</f>
        <v>0</v>
      </c>
      <c r="I59" s="143">
        <f>SUM(I60:I61)</f>
        <v>0</v>
      </c>
      <c r="J59" s="143">
        <f>SUM(J60:J61)</f>
        <v>0</v>
      </c>
      <c r="K59" s="143">
        <f>SUM(K60:K61)</f>
        <v>0</v>
      </c>
      <c r="L59" s="142"/>
      <c r="M59" s="52"/>
      <c r="P59" s="115"/>
    </row>
    <row r="60" spans="3:16" s="140" customFormat="1" ht="12.75">
      <c r="C60" s="141"/>
      <c r="D60" s="113" t="s">
        <v>484</v>
      </c>
      <c r="E60" s="144"/>
      <c r="F60" s="84" t="s">
        <v>242</v>
      </c>
      <c r="G60" s="145"/>
      <c r="H60" s="145"/>
      <c r="I60" s="145"/>
      <c r="J60" s="145"/>
      <c r="K60" s="145"/>
      <c r="L60" s="142"/>
      <c r="M60" s="52"/>
      <c r="P60" s="115"/>
    </row>
    <row r="61" spans="3:16" s="140" customFormat="1" ht="12.75">
      <c r="C61" s="141"/>
      <c r="D61" s="108"/>
      <c r="E61" s="104" t="s">
        <v>334</v>
      </c>
      <c r="F61" s="73"/>
      <c r="G61" s="73"/>
      <c r="H61" s="73"/>
      <c r="I61" s="73"/>
      <c r="J61" s="73"/>
      <c r="K61" s="74"/>
      <c r="L61" s="142"/>
      <c r="M61" s="52"/>
      <c r="P61" s="115"/>
    </row>
    <row r="62" spans="3:16" s="140" customFormat="1" ht="12.75">
      <c r="C62" s="141"/>
      <c r="D62" s="106" t="s">
        <v>397</v>
      </c>
      <c r="E62" s="67" t="s">
        <v>501</v>
      </c>
      <c r="F62" s="68" t="s">
        <v>243</v>
      </c>
      <c r="G62" s="143">
        <f t="shared" si="0"/>
        <v>9.3321694444444425</v>
      </c>
      <c r="H62" s="143">
        <f>SUM(H63:H66)</f>
        <v>1.3901222222222223</v>
      </c>
      <c r="I62" s="143">
        <f>SUM(I63:I66)</f>
        <v>5.7304166666666658</v>
      </c>
      <c r="J62" s="143">
        <f>SUM(J63:J66)</f>
        <v>2.2116305555555558</v>
      </c>
      <c r="K62" s="143">
        <f>SUM(K63:K66)</f>
        <v>0</v>
      </c>
      <c r="L62" s="142"/>
      <c r="M62" s="52"/>
      <c r="P62" s="115">
        <v>330</v>
      </c>
    </row>
    <row r="63" spans="3:16" s="140" customFormat="1" ht="12.75">
      <c r="C63" s="141"/>
      <c r="D63" s="113" t="s">
        <v>485</v>
      </c>
      <c r="E63" s="144"/>
      <c r="F63" s="84" t="s">
        <v>243</v>
      </c>
      <c r="G63" s="145"/>
      <c r="H63" s="145"/>
      <c r="I63" s="145"/>
      <c r="J63" s="145"/>
      <c r="K63" s="145"/>
      <c r="L63" s="142"/>
      <c r="M63" s="52"/>
      <c r="P63" s="115"/>
    </row>
    <row r="64" spans="3:16" s="140" customFormat="1" ht="14.25">
      <c r="C64" s="121" t="s">
        <v>0</v>
      </c>
      <c r="D64" s="146" t="s">
        <v>1876</v>
      </c>
      <c r="E64" s="82" t="s">
        <v>2047</v>
      </c>
      <c r="F64" s="79">
        <v>1461</v>
      </c>
      <c r="G64" s="147">
        <f>SUM(H64:K64)</f>
        <v>7.8904347222222206</v>
      </c>
      <c r="H64" s="148">
        <f>H25/720</f>
        <v>1.3901222222222223</v>
      </c>
      <c r="I64" s="148">
        <f>I25/720</f>
        <v>5.7304166666666658</v>
      </c>
      <c r="J64" s="148">
        <f>J25/720</f>
        <v>0.76989583333333345</v>
      </c>
      <c r="K64" s="148"/>
      <c r="L64" s="142"/>
      <c r="M64" s="85" t="s">
        <v>1842</v>
      </c>
      <c r="N64" s="86" t="s">
        <v>1438</v>
      </c>
      <c r="O64" s="86" t="s">
        <v>1841</v>
      </c>
    </row>
    <row r="65" spans="3:16" s="140" customFormat="1" ht="14.25">
      <c r="C65" s="121" t="s">
        <v>0</v>
      </c>
      <c r="D65" s="146" t="s">
        <v>2073</v>
      </c>
      <c r="E65" s="82" t="s">
        <v>1467</v>
      </c>
      <c r="F65" s="79">
        <v>1462</v>
      </c>
      <c r="G65" s="147">
        <f>SUM(H65:K65)</f>
        <v>1.4417347222222221</v>
      </c>
      <c r="H65" s="148"/>
      <c r="I65" s="148"/>
      <c r="J65" s="148">
        <f>J26/720</f>
        <v>1.4417347222222221</v>
      </c>
      <c r="K65" s="149"/>
      <c r="L65" s="142"/>
      <c r="M65" s="85" t="s">
        <v>1468</v>
      </c>
      <c r="N65" s="86" t="s">
        <v>1438</v>
      </c>
      <c r="O65" s="86" t="s">
        <v>1466</v>
      </c>
    </row>
    <row r="66" spans="3:16" s="140" customFormat="1" ht="12.75">
      <c r="C66" s="141"/>
      <c r="D66" s="108"/>
      <c r="E66" s="104" t="s">
        <v>334</v>
      </c>
      <c r="F66" s="73"/>
      <c r="G66" s="73"/>
      <c r="H66" s="73"/>
      <c r="I66" s="73"/>
      <c r="J66" s="73"/>
      <c r="K66" s="74"/>
      <c r="L66" s="142"/>
      <c r="M66" s="52"/>
      <c r="P66" s="115"/>
    </row>
    <row r="67" spans="3:16" s="140" customFormat="1" ht="12.75">
      <c r="C67" s="141"/>
      <c r="D67" s="106" t="s">
        <v>398</v>
      </c>
      <c r="E67" s="88" t="s">
        <v>157</v>
      </c>
      <c r="F67" s="68" t="s">
        <v>244</v>
      </c>
      <c r="G67" s="143">
        <f t="shared" si="0"/>
        <v>4.3266819444444442</v>
      </c>
      <c r="H67" s="143">
        <f>H69+H70+H71</f>
        <v>0</v>
      </c>
      <c r="I67" s="143">
        <f>I68+I70+I71</f>
        <v>0</v>
      </c>
      <c r="J67" s="143">
        <f>J68+J69+J71</f>
        <v>2.7446374999999996</v>
      </c>
      <c r="K67" s="143">
        <f>K68+K69+K70</f>
        <v>1.5820444444444446</v>
      </c>
      <c r="L67" s="142"/>
      <c r="M67" s="52"/>
      <c r="P67" s="115">
        <v>340</v>
      </c>
    </row>
    <row r="68" spans="3:16" s="140" customFormat="1" ht="12.75">
      <c r="C68" s="141"/>
      <c r="D68" s="106" t="s">
        <v>399</v>
      </c>
      <c r="E68" s="67" t="s">
        <v>134</v>
      </c>
      <c r="F68" s="68" t="s">
        <v>245</v>
      </c>
      <c r="G68" s="143">
        <f t="shared" si="0"/>
        <v>1.3898847222222221</v>
      </c>
      <c r="H68" s="150"/>
      <c r="I68" s="122"/>
      <c r="J68" s="122">
        <f>J29/720</f>
        <v>1.3898847222222221</v>
      </c>
      <c r="K68" s="122"/>
      <c r="L68" s="142"/>
      <c r="M68" s="52"/>
      <c r="P68" s="115">
        <v>350</v>
      </c>
    </row>
    <row r="69" spans="3:16" s="140" customFormat="1" ht="12.75">
      <c r="C69" s="141"/>
      <c r="D69" s="106" t="s">
        <v>400</v>
      </c>
      <c r="E69" s="67" t="s">
        <v>135</v>
      </c>
      <c r="F69" s="68" t="s">
        <v>246</v>
      </c>
      <c r="G69" s="143">
        <f t="shared" si="0"/>
        <v>1.3547527777777773</v>
      </c>
      <c r="H69" s="122"/>
      <c r="I69" s="151"/>
      <c r="J69" s="122">
        <f>J30/720</f>
        <v>1.3547527777777773</v>
      </c>
      <c r="K69" s="122"/>
      <c r="L69" s="142"/>
      <c r="M69" s="52"/>
      <c r="P69" s="115">
        <v>360</v>
      </c>
    </row>
    <row r="70" spans="3:16" s="140" customFormat="1" ht="12.75">
      <c r="C70" s="141"/>
      <c r="D70" s="106" t="s">
        <v>401</v>
      </c>
      <c r="E70" s="67" t="s">
        <v>136</v>
      </c>
      <c r="F70" s="68" t="s">
        <v>247</v>
      </c>
      <c r="G70" s="143">
        <f t="shared" si="0"/>
        <v>1.5820444444444446</v>
      </c>
      <c r="H70" s="122"/>
      <c r="I70" s="122"/>
      <c r="J70" s="150"/>
      <c r="K70" s="122">
        <f>K31/720</f>
        <v>1.5820444444444446</v>
      </c>
      <c r="L70" s="142"/>
      <c r="M70" s="52"/>
      <c r="P70" s="115">
        <v>370</v>
      </c>
    </row>
    <row r="71" spans="3:16" s="140" customFormat="1" ht="12.75">
      <c r="C71" s="141"/>
      <c r="D71" s="106" t="s">
        <v>402</v>
      </c>
      <c r="E71" s="67" t="s">
        <v>158</v>
      </c>
      <c r="F71" s="68" t="s">
        <v>248</v>
      </c>
      <c r="G71" s="143">
        <f t="shared" si="0"/>
        <v>0</v>
      </c>
      <c r="H71" s="122"/>
      <c r="I71" s="122"/>
      <c r="J71" s="122"/>
      <c r="K71" s="150"/>
      <c r="L71" s="142"/>
      <c r="M71" s="52"/>
      <c r="P71" s="115">
        <v>380</v>
      </c>
    </row>
    <row r="72" spans="3:16" s="140" customFormat="1" ht="12.75">
      <c r="C72" s="141"/>
      <c r="D72" s="106" t="s">
        <v>403</v>
      </c>
      <c r="E72" s="89" t="s">
        <v>161</v>
      </c>
      <c r="F72" s="68" t="s">
        <v>249</v>
      </c>
      <c r="G72" s="143">
        <f t="shared" si="0"/>
        <v>0</v>
      </c>
      <c r="H72" s="122"/>
      <c r="I72" s="122"/>
      <c r="J72" s="122"/>
      <c r="K72" s="122"/>
      <c r="L72" s="142"/>
      <c r="M72" s="52"/>
      <c r="P72" s="115"/>
    </row>
    <row r="73" spans="3:16" s="140" customFormat="1" ht="12.75">
      <c r="C73" s="141"/>
      <c r="D73" s="106" t="s">
        <v>404</v>
      </c>
      <c r="E73" s="88" t="s">
        <v>502</v>
      </c>
      <c r="F73" s="109" t="s">
        <v>250</v>
      </c>
      <c r="G73" s="143">
        <f t="shared" si="0"/>
        <v>9.2585708333333336</v>
      </c>
      <c r="H73" s="143">
        <f>H74+H76+H79+H83</f>
        <v>0</v>
      </c>
      <c r="I73" s="143">
        <f>I74+I76+I79+I83</f>
        <v>4.3755333333333333</v>
      </c>
      <c r="J73" s="143">
        <f>J74+J76+J79+J83</f>
        <v>3.3536166666666665</v>
      </c>
      <c r="K73" s="143">
        <f>K74+K76+K79+K83</f>
        <v>1.5294208333333332</v>
      </c>
      <c r="L73" s="142"/>
      <c r="M73" s="52"/>
      <c r="P73" s="115">
        <v>390</v>
      </c>
    </row>
    <row r="74" spans="3:16" s="140" customFormat="1" ht="22.5">
      <c r="C74" s="141"/>
      <c r="D74" s="106" t="s">
        <v>405</v>
      </c>
      <c r="E74" s="67" t="s">
        <v>503</v>
      </c>
      <c r="F74" s="68" t="s">
        <v>251</v>
      </c>
      <c r="G74" s="143">
        <f t="shared" si="0"/>
        <v>0</v>
      </c>
      <c r="H74" s="122"/>
      <c r="I74" s="122"/>
      <c r="J74" s="122"/>
      <c r="K74" s="122"/>
      <c r="L74" s="142"/>
      <c r="M74" s="52"/>
      <c r="P74" s="115"/>
    </row>
    <row r="75" spans="3:16" s="140" customFormat="1" ht="12.75">
      <c r="C75" s="141"/>
      <c r="D75" s="106" t="s">
        <v>489</v>
      </c>
      <c r="E75" s="69" t="s">
        <v>476</v>
      </c>
      <c r="F75" s="68" t="s">
        <v>252</v>
      </c>
      <c r="G75" s="143">
        <f t="shared" si="0"/>
        <v>0</v>
      </c>
      <c r="H75" s="122"/>
      <c r="I75" s="122"/>
      <c r="J75" s="122"/>
      <c r="K75" s="122"/>
      <c r="L75" s="142"/>
      <c r="M75" s="52"/>
      <c r="P75" s="115"/>
    </row>
    <row r="76" spans="3:16" s="140" customFormat="1" ht="12.75">
      <c r="C76" s="141"/>
      <c r="D76" s="106" t="s">
        <v>406</v>
      </c>
      <c r="E76" s="67" t="s">
        <v>221</v>
      </c>
      <c r="F76" s="68" t="s">
        <v>253</v>
      </c>
      <c r="G76" s="143">
        <f t="shared" si="0"/>
        <v>5.8258736111111107</v>
      </c>
      <c r="H76" s="122">
        <f>H37/720</f>
        <v>0</v>
      </c>
      <c r="I76" s="122">
        <f>I37/720</f>
        <v>0.94283611111111121</v>
      </c>
      <c r="J76" s="122">
        <f>J37/720</f>
        <v>3.3536166666666665</v>
      </c>
      <c r="K76" s="122">
        <f>K37/720</f>
        <v>1.5294208333333332</v>
      </c>
      <c r="L76" s="142"/>
      <c r="M76" s="52"/>
      <c r="P76" s="115"/>
    </row>
    <row r="77" spans="3:16" s="140" customFormat="1" ht="12.75">
      <c r="C77" s="141"/>
      <c r="D77" s="106" t="s">
        <v>490</v>
      </c>
      <c r="E77" s="69" t="s">
        <v>504</v>
      </c>
      <c r="F77" s="68" t="s">
        <v>254</v>
      </c>
      <c r="G77" s="143">
        <f t="shared" si="0"/>
        <v>0</v>
      </c>
      <c r="H77" s="122"/>
      <c r="I77" s="122"/>
      <c r="J77" s="122"/>
      <c r="K77" s="122"/>
      <c r="L77" s="142"/>
      <c r="M77" s="52"/>
      <c r="P77" s="115"/>
    </row>
    <row r="78" spans="3:16" s="140" customFormat="1" ht="12.75">
      <c r="C78" s="141"/>
      <c r="D78" s="106" t="s">
        <v>491</v>
      </c>
      <c r="E78" s="71" t="s">
        <v>476</v>
      </c>
      <c r="F78" s="68" t="s">
        <v>255</v>
      </c>
      <c r="G78" s="143">
        <f t="shared" si="0"/>
        <v>0</v>
      </c>
      <c r="H78" s="122"/>
      <c r="I78" s="122"/>
      <c r="J78" s="122"/>
      <c r="K78" s="122"/>
      <c r="L78" s="142"/>
      <c r="M78" s="52"/>
      <c r="P78" s="115"/>
    </row>
    <row r="79" spans="3:16" s="140" customFormat="1" ht="12.75">
      <c r="C79" s="141"/>
      <c r="D79" s="106" t="s">
        <v>407</v>
      </c>
      <c r="E79" s="67" t="s">
        <v>505</v>
      </c>
      <c r="F79" s="68" t="s">
        <v>256</v>
      </c>
      <c r="G79" s="143">
        <f t="shared" si="0"/>
        <v>3.4326972222222221</v>
      </c>
      <c r="H79" s="143">
        <f>SUM(H80:H82)</f>
        <v>0</v>
      </c>
      <c r="I79" s="143">
        <f>SUM(I80:I82)</f>
        <v>3.4326972222222221</v>
      </c>
      <c r="J79" s="143">
        <f>SUM(J80:J82)</f>
        <v>0</v>
      </c>
      <c r="K79" s="143">
        <f>SUM(K80:K82)</f>
        <v>0</v>
      </c>
      <c r="L79" s="142"/>
      <c r="M79" s="52"/>
      <c r="P79" s="115"/>
    </row>
    <row r="80" spans="3:16" s="140" customFormat="1" ht="12.75">
      <c r="C80" s="141"/>
      <c r="D80" s="113" t="s">
        <v>497</v>
      </c>
      <c r="E80" s="144"/>
      <c r="F80" s="84" t="s">
        <v>256</v>
      </c>
      <c r="G80" s="145"/>
      <c r="H80" s="145"/>
      <c r="I80" s="145"/>
      <c r="J80" s="145"/>
      <c r="K80" s="145"/>
      <c r="L80" s="142"/>
      <c r="M80" s="52"/>
      <c r="P80" s="115"/>
    </row>
    <row r="81" spans="3:16" s="140" customFormat="1" ht="14.25">
      <c r="C81" s="121" t="s">
        <v>0</v>
      </c>
      <c r="D81" s="146" t="s">
        <v>1877</v>
      </c>
      <c r="E81" s="82" t="s">
        <v>1467</v>
      </c>
      <c r="F81" s="79">
        <v>1781</v>
      </c>
      <c r="G81" s="147">
        <f>SUM(H81:K81)</f>
        <v>3.4326972222222221</v>
      </c>
      <c r="H81" s="148"/>
      <c r="I81" s="148">
        <f>I42/720</f>
        <v>3.4326972222222221</v>
      </c>
      <c r="J81" s="148"/>
      <c r="K81" s="149"/>
      <c r="L81" s="142"/>
      <c r="M81" s="85" t="s">
        <v>1468</v>
      </c>
      <c r="N81" s="86" t="s">
        <v>1451</v>
      </c>
      <c r="O81" s="86" t="s">
        <v>1466</v>
      </c>
    </row>
    <row r="82" spans="3:16" s="140" customFormat="1" ht="12.75">
      <c r="C82" s="141"/>
      <c r="D82" s="108"/>
      <c r="E82" s="104" t="s">
        <v>334</v>
      </c>
      <c r="F82" s="73"/>
      <c r="G82" s="73"/>
      <c r="H82" s="73"/>
      <c r="I82" s="73"/>
      <c r="J82" s="73"/>
      <c r="K82" s="74"/>
      <c r="L82" s="142"/>
      <c r="M82" s="52"/>
      <c r="P82" s="115"/>
    </row>
    <row r="83" spans="3:16" s="140" customFormat="1" ht="12.75">
      <c r="C83" s="141"/>
      <c r="D83" s="106" t="s">
        <v>408</v>
      </c>
      <c r="E83" s="105" t="s">
        <v>477</v>
      </c>
      <c r="F83" s="68" t="s">
        <v>257</v>
      </c>
      <c r="G83" s="143">
        <f t="shared" si="0"/>
        <v>0</v>
      </c>
      <c r="H83" s="122"/>
      <c r="I83" s="122"/>
      <c r="J83" s="122"/>
      <c r="K83" s="122"/>
      <c r="L83" s="142"/>
      <c r="M83" s="52"/>
      <c r="P83" s="115">
        <v>410</v>
      </c>
    </row>
    <row r="84" spans="3:16" s="140" customFormat="1" ht="12.75">
      <c r="C84" s="141"/>
      <c r="D84" s="106" t="s">
        <v>409</v>
      </c>
      <c r="E84" s="88" t="s">
        <v>159</v>
      </c>
      <c r="F84" s="68" t="s">
        <v>258</v>
      </c>
      <c r="G84" s="143">
        <f t="shared" si="0"/>
        <v>4.3266819444444442</v>
      </c>
      <c r="H84" s="122">
        <f>H45/720</f>
        <v>1.3898847222222221</v>
      </c>
      <c r="I84" s="122">
        <f>I45/720</f>
        <v>1.3547527777777773</v>
      </c>
      <c r="J84" s="122">
        <f>J45/720</f>
        <v>1.5820444444444446</v>
      </c>
      <c r="K84" s="122">
        <f>K45/720</f>
        <v>1.6776703483224587E-16</v>
      </c>
      <c r="L84" s="142"/>
      <c r="M84" s="52"/>
      <c r="P84" s="115">
        <v>440</v>
      </c>
    </row>
    <row r="85" spans="3:16" s="140" customFormat="1" ht="12.75">
      <c r="C85" s="141"/>
      <c r="D85" s="106" t="s">
        <v>410</v>
      </c>
      <c r="E85" s="88" t="s">
        <v>160</v>
      </c>
      <c r="F85" s="68" t="s">
        <v>259</v>
      </c>
      <c r="G85" s="143">
        <f t="shared" si="0"/>
        <v>0</v>
      </c>
      <c r="H85" s="122"/>
      <c r="I85" s="122"/>
      <c r="J85" s="122"/>
      <c r="K85" s="122"/>
      <c r="L85" s="142"/>
      <c r="M85" s="52"/>
      <c r="P85" s="115">
        <v>450</v>
      </c>
    </row>
    <row r="86" spans="3:16" s="140" customFormat="1" ht="12.75">
      <c r="C86" s="141"/>
      <c r="D86" s="106" t="s">
        <v>411</v>
      </c>
      <c r="E86" s="88" t="s">
        <v>162</v>
      </c>
      <c r="F86" s="68" t="s">
        <v>260</v>
      </c>
      <c r="G86" s="143">
        <f t="shared" si="0"/>
        <v>0</v>
      </c>
      <c r="H86" s="122"/>
      <c r="I86" s="122"/>
      <c r="J86" s="122"/>
      <c r="K86" s="122"/>
      <c r="L86" s="142"/>
      <c r="M86" s="52"/>
      <c r="P86" s="115">
        <v>470</v>
      </c>
    </row>
    <row r="87" spans="3:16" s="140" customFormat="1" ht="12.75">
      <c r="C87" s="141"/>
      <c r="D87" s="106" t="s">
        <v>412</v>
      </c>
      <c r="E87" s="88" t="s">
        <v>473</v>
      </c>
      <c r="F87" s="68" t="s">
        <v>261</v>
      </c>
      <c r="G87" s="143">
        <f t="shared" si="0"/>
        <v>7.3598611111111115E-2</v>
      </c>
      <c r="H87" s="122">
        <f>H48/720</f>
        <v>2.3750000000000003E-4</v>
      </c>
      <c r="I87" s="122">
        <f>I48/720</f>
        <v>1.3055555555555555E-4</v>
      </c>
      <c r="J87" s="122">
        <f>J48/720</f>
        <v>2.0606944444444445E-2</v>
      </c>
      <c r="K87" s="122">
        <f>K48/720</f>
        <v>5.2623611111111114E-2</v>
      </c>
      <c r="L87" s="142"/>
      <c r="M87" s="52"/>
      <c r="P87" s="115">
        <v>480</v>
      </c>
    </row>
    <row r="88" spans="3:16" s="140" customFormat="1" ht="12.75">
      <c r="C88" s="141"/>
      <c r="D88" s="106" t="s">
        <v>413</v>
      </c>
      <c r="E88" s="67" t="s">
        <v>233</v>
      </c>
      <c r="F88" s="68" t="s">
        <v>262</v>
      </c>
      <c r="G88" s="143">
        <f t="shared" si="0"/>
        <v>0</v>
      </c>
      <c r="H88" s="122"/>
      <c r="I88" s="122"/>
      <c r="J88" s="122"/>
      <c r="K88" s="122"/>
      <c r="L88" s="142"/>
      <c r="M88" s="52"/>
      <c r="P88" s="115">
        <v>490</v>
      </c>
    </row>
    <row r="89" spans="3:16" s="140" customFormat="1" ht="22.5">
      <c r="C89" s="141"/>
      <c r="D89" s="106" t="s">
        <v>414</v>
      </c>
      <c r="E89" s="88" t="s">
        <v>417</v>
      </c>
      <c r="F89" s="68" t="s">
        <v>263</v>
      </c>
      <c r="G89" s="143">
        <f t="shared" si="0"/>
        <v>0.17327916666666668</v>
      </c>
      <c r="H89" s="122"/>
      <c r="I89" s="122">
        <f>I50/720</f>
        <v>4.4664438000000001E-2</v>
      </c>
      <c r="J89" s="122">
        <f>J50/720</f>
        <v>6.4536092833333336E-2</v>
      </c>
      <c r="K89" s="122">
        <f>K50/720</f>
        <v>6.4078635833333342E-2</v>
      </c>
      <c r="L89" s="142"/>
      <c r="M89" s="52"/>
      <c r="P89" s="115"/>
    </row>
    <row r="90" spans="3:16" s="140" customFormat="1" ht="33.75">
      <c r="C90" s="141"/>
      <c r="D90" s="106" t="s">
        <v>415</v>
      </c>
      <c r="E90" s="89" t="s">
        <v>236</v>
      </c>
      <c r="F90" s="68" t="s">
        <v>264</v>
      </c>
      <c r="G90" s="143">
        <f t="shared" si="0"/>
        <v>-9.9680555555555578E-2</v>
      </c>
      <c r="H90" s="143">
        <f>H87-H89</f>
        <v>2.3750000000000003E-4</v>
      </c>
      <c r="I90" s="143">
        <f>I87-I89</f>
        <v>-4.4533882444444443E-2</v>
      </c>
      <c r="J90" s="143">
        <f>J87-J89</f>
        <v>-4.3929148388888895E-2</v>
      </c>
      <c r="K90" s="143">
        <f>K87-K89</f>
        <v>-1.1455024722222228E-2</v>
      </c>
      <c r="L90" s="142"/>
      <c r="M90" s="52"/>
      <c r="P90" s="115"/>
    </row>
    <row r="91" spans="3:16" s="140" customFormat="1" ht="12.75">
      <c r="C91" s="141"/>
      <c r="D91" s="106" t="s">
        <v>416</v>
      </c>
      <c r="E91" s="88" t="s">
        <v>163</v>
      </c>
      <c r="F91" s="68" t="s">
        <v>265</v>
      </c>
      <c r="G91" s="143">
        <f t="shared" si="0"/>
        <v>0</v>
      </c>
      <c r="H91" s="143">
        <f>(H54+H67+H72)-(H73+H84+H85+H86+H87)</f>
        <v>0</v>
      </c>
      <c r="I91" s="143">
        <f>(I54+I67+I72)-(I73+I84+I85+I86+I87)</f>
        <v>0</v>
      </c>
      <c r="J91" s="143">
        <f>(J54+J67+J72)-(J73+J84+J85+J86+J87)</f>
        <v>0</v>
      </c>
      <c r="K91" s="143">
        <f>(K54+K67+K72)-(K73+K84+K85+K86+K87)</f>
        <v>0</v>
      </c>
      <c r="L91" s="142"/>
      <c r="M91" s="52"/>
      <c r="P91" s="115">
        <v>500</v>
      </c>
    </row>
    <row r="92" spans="3:16" s="140" customFormat="1" ht="12.75">
      <c r="C92" s="141"/>
      <c r="D92" s="174" t="s">
        <v>202</v>
      </c>
      <c r="E92" s="175"/>
      <c r="F92" s="175"/>
      <c r="G92" s="175"/>
      <c r="H92" s="175"/>
      <c r="I92" s="175"/>
      <c r="J92" s="175"/>
      <c r="K92" s="176"/>
      <c r="L92" s="142"/>
      <c r="M92" s="52"/>
      <c r="P92" s="116"/>
    </row>
    <row r="93" spans="3:16" s="140" customFormat="1" ht="12.75">
      <c r="C93" s="141"/>
      <c r="D93" s="106" t="s">
        <v>418</v>
      </c>
      <c r="E93" s="88" t="s">
        <v>164</v>
      </c>
      <c r="F93" s="68" t="s">
        <v>266</v>
      </c>
      <c r="G93" s="143">
        <f t="shared" si="0"/>
        <v>0</v>
      </c>
      <c r="H93" s="122"/>
      <c r="I93" s="122"/>
      <c r="J93" s="122"/>
      <c r="K93" s="122"/>
      <c r="L93" s="142"/>
      <c r="M93" s="52"/>
      <c r="P93" s="115">
        <v>600</v>
      </c>
    </row>
    <row r="94" spans="3:16" s="140" customFormat="1" ht="12.75">
      <c r="C94" s="141"/>
      <c r="D94" s="106" t="s">
        <v>419</v>
      </c>
      <c r="E94" s="88" t="s">
        <v>165</v>
      </c>
      <c r="F94" s="68" t="s">
        <v>267</v>
      </c>
      <c r="G94" s="143">
        <f t="shared" si="0"/>
        <v>56.423000000000002</v>
      </c>
      <c r="H94" s="122"/>
      <c r="I94" s="122">
        <v>56.423000000000002</v>
      </c>
      <c r="J94" s="122"/>
      <c r="K94" s="122"/>
      <c r="L94" s="142"/>
      <c r="M94" s="52"/>
      <c r="P94" s="115">
        <v>610</v>
      </c>
    </row>
    <row r="95" spans="3:16" s="140" customFormat="1" ht="12.75">
      <c r="C95" s="141"/>
      <c r="D95" s="106" t="s">
        <v>420</v>
      </c>
      <c r="E95" s="88" t="s">
        <v>166</v>
      </c>
      <c r="F95" s="68" t="s">
        <v>268</v>
      </c>
      <c r="G95" s="143">
        <f t="shared" si="0"/>
        <v>0</v>
      </c>
      <c r="H95" s="122"/>
      <c r="I95" s="122"/>
      <c r="J95" s="122"/>
      <c r="K95" s="122"/>
      <c r="L95" s="142"/>
      <c r="M95" s="52"/>
      <c r="P95" s="115">
        <v>620</v>
      </c>
    </row>
    <row r="96" spans="3:16" s="140" customFormat="1" ht="12.75">
      <c r="C96" s="141"/>
      <c r="D96" s="174" t="s">
        <v>209</v>
      </c>
      <c r="E96" s="175"/>
      <c r="F96" s="175"/>
      <c r="G96" s="175"/>
      <c r="H96" s="175"/>
      <c r="I96" s="175"/>
      <c r="J96" s="175"/>
      <c r="K96" s="176"/>
      <c r="L96" s="142"/>
      <c r="M96" s="52"/>
      <c r="P96" s="116"/>
    </row>
    <row r="97" spans="3:16" s="140" customFormat="1" ht="12.75">
      <c r="C97" s="141"/>
      <c r="D97" s="106" t="s">
        <v>421</v>
      </c>
      <c r="E97" s="88" t="s">
        <v>506</v>
      </c>
      <c r="F97" s="68" t="s">
        <v>269</v>
      </c>
      <c r="G97" s="143">
        <f t="shared" si="0"/>
        <v>0</v>
      </c>
      <c r="H97" s="143">
        <f>SUM(H98:H99)</f>
        <v>0</v>
      </c>
      <c r="I97" s="143">
        <f>SUM(I98:I99)</f>
        <v>0</v>
      </c>
      <c r="J97" s="143">
        <f>SUM(J98:J99)</f>
        <v>0</v>
      </c>
      <c r="K97" s="143">
        <f>SUM(K98:K99)</f>
        <v>0</v>
      </c>
      <c r="L97" s="142"/>
      <c r="M97" s="52"/>
      <c r="P97" s="115">
        <v>700</v>
      </c>
    </row>
    <row r="98" spans="3:16" ht="12.75">
      <c r="C98" s="130"/>
      <c r="D98" s="107" t="s">
        <v>422</v>
      </c>
      <c r="E98" s="67" t="s">
        <v>167</v>
      </c>
      <c r="F98" s="68" t="s">
        <v>270</v>
      </c>
      <c r="G98" s="143">
        <f t="shared" si="0"/>
        <v>0</v>
      </c>
      <c r="H98" s="152"/>
      <c r="I98" s="152"/>
      <c r="J98" s="152"/>
      <c r="K98" s="152"/>
      <c r="L98" s="137"/>
      <c r="M98" s="52"/>
      <c r="P98" s="115">
        <v>710</v>
      </c>
    </row>
    <row r="99" spans="3:16" ht="12.75">
      <c r="C99" s="130"/>
      <c r="D99" s="107" t="s">
        <v>423</v>
      </c>
      <c r="E99" s="67" t="s">
        <v>507</v>
      </c>
      <c r="F99" s="68" t="s">
        <v>271</v>
      </c>
      <c r="G99" s="143">
        <f t="shared" si="0"/>
        <v>0</v>
      </c>
      <c r="H99" s="153">
        <f>H102</f>
        <v>0</v>
      </c>
      <c r="I99" s="153">
        <f>I102</f>
        <v>0</v>
      </c>
      <c r="J99" s="153">
        <f>J102</f>
        <v>0</v>
      </c>
      <c r="K99" s="153">
        <f>K102</f>
        <v>0</v>
      </c>
      <c r="L99" s="137"/>
      <c r="M99" s="52"/>
      <c r="P99" s="115">
        <v>720</v>
      </c>
    </row>
    <row r="100" spans="3:16" ht="12.75">
      <c r="C100" s="130"/>
      <c r="D100" s="107" t="s">
        <v>424</v>
      </c>
      <c r="E100" s="69" t="s">
        <v>508</v>
      </c>
      <c r="F100" s="68" t="s">
        <v>273</v>
      </c>
      <c r="G100" s="143">
        <f t="shared" si="0"/>
        <v>0</v>
      </c>
      <c r="H100" s="152"/>
      <c r="I100" s="152"/>
      <c r="J100" s="152"/>
      <c r="K100" s="152"/>
      <c r="L100" s="137"/>
      <c r="M100" s="52"/>
      <c r="P100" s="115">
        <v>730</v>
      </c>
    </row>
    <row r="101" spans="3:16" ht="12.75">
      <c r="C101" s="130"/>
      <c r="D101" s="107" t="s">
        <v>425</v>
      </c>
      <c r="E101" s="71" t="s">
        <v>509</v>
      </c>
      <c r="F101" s="68" t="s">
        <v>274</v>
      </c>
      <c r="G101" s="143">
        <f t="shared" si="0"/>
        <v>0</v>
      </c>
      <c r="H101" s="152"/>
      <c r="I101" s="152"/>
      <c r="J101" s="152"/>
      <c r="K101" s="152"/>
      <c r="L101" s="137"/>
      <c r="M101" s="52"/>
      <c r="P101" s="115"/>
    </row>
    <row r="102" spans="3:16" ht="12.75">
      <c r="C102" s="130"/>
      <c r="D102" s="107" t="s">
        <v>426</v>
      </c>
      <c r="E102" s="69" t="s">
        <v>478</v>
      </c>
      <c r="F102" s="68" t="s">
        <v>275</v>
      </c>
      <c r="G102" s="143">
        <f t="shared" si="0"/>
        <v>0</v>
      </c>
      <c r="H102" s="152"/>
      <c r="I102" s="152"/>
      <c r="J102" s="152"/>
      <c r="K102" s="152"/>
      <c r="L102" s="137"/>
      <c r="M102" s="52"/>
      <c r="P102" s="115">
        <v>740</v>
      </c>
    </row>
    <row r="103" spans="3:16" ht="12.75">
      <c r="C103" s="130"/>
      <c r="D103" s="107" t="s">
        <v>427</v>
      </c>
      <c r="E103" s="88" t="s">
        <v>510</v>
      </c>
      <c r="F103" s="68" t="s">
        <v>277</v>
      </c>
      <c r="G103" s="143">
        <f t="shared" si="0"/>
        <v>0</v>
      </c>
      <c r="H103" s="153">
        <f>H104+H120</f>
        <v>0</v>
      </c>
      <c r="I103" s="153">
        <f>I104+I120</f>
        <v>0</v>
      </c>
      <c r="J103" s="153">
        <f>J104+J120</f>
        <v>0</v>
      </c>
      <c r="K103" s="153">
        <f>K104+K120</f>
        <v>0</v>
      </c>
      <c r="L103" s="137"/>
      <c r="M103" s="52"/>
      <c r="P103" s="115">
        <v>750</v>
      </c>
    </row>
    <row r="104" spans="3:16" ht="12.75">
      <c r="C104" s="130"/>
      <c r="D104" s="107" t="s">
        <v>428</v>
      </c>
      <c r="E104" s="67" t="s">
        <v>279</v>
      </c>
      <c r="F104" s="68" t="s">
        <v>278</v>
      </c>
      <c r="G104" s="143">
        <f t="shared" si="0"/>
        <v>0</v>
      </c>
      <c r="H104" s="153">
        <f>H105+H106</f>
        <v>0</v>
      </c>
      <c r="I104" s="153">
        <f>I105+I106</f>
        <v>0</v>
      </c>
      <c r="J104" s="153">
        <f>J105+J106</f>
        <v>0</v>
      </c>
      <c r="K104" s="153">
        <f>K105+K106</f>
        <v>0</v>
      </c>
      <c r="L104" s="137"/>
      <c r="M104" s="52"/>
      <c r="P104" s="115">
        <v>760</v>
      </c>
    </row>
    <row r="105" spans="3:16" ht="12.75">
      <c r="C105" s="130"/>
      <c r="D105" s="107" t="s">
        <v>429</v>
      </c>
      <c r="E105" s="69" t="s">
        <v>222</v>
      </c>
      <c r="F105" s="68" t="s">
        <v>280</v>
      </c>
      <c r="G105" s="143">
        <f t="shared" si="0"/>
        <v>0</v>
      </c>
      <c r="H105" s="152"/>
      <c r="I105" s="152"/>
      <c r="J105" s="152"/>
      <c r="K105" s="152"/>
      <c r="L105" s="137"/>
      <c r="M105" s="52"/>
      <c r="P105" s="115"/>
    </row>
    <row r="106" spans="3:16" ht="12.75">
      <c r="C106" s="130"/>
      <c r="D106" s="107" t="s">
        <v>430</v>
      </c>
      <c r="E106" s="69" t="s">
        <v>511</v>
      </c>
      <c r="F106" s="68" t="s">
        <v>281</v>
      </c>
      <c r="G106" s="143">
        <f t="shared" si="0"/>
        <v>0</v>
      </c>
      <c r="H106" s="153">
        <f>H107+H110+H113+H116+H117+H118+H119</f>
        <v>0</v>
      </c>
      <c r="I106" s="153">
        <f>I107+I110+I113+I116+I117+I118+I119</f>
        <v>0</v>
      </c>
      <c r="J106" s="153">
        <f>J107+J110+J113+J116+J117+J118+J119</f>
        <v>0</v>
      </c>
      <c r="K106" s="153">
        <f>K107+K110+K113+K116+K117+K118+K119</f>
        <v>0</v>
      </c>
      <c r="L106" s="137"/>
      <c r="M106" s="52"/>
      <c r="P106" s="115"/>
    </row>
    <row r="107" spans="3:16" ht="45">
      <c r="C107" s="130"/>
      <c r="D107" s="107" t="s">
        <v>431</v>
      </c>
      <c r="E107" s="71" t="s">
        <v>512</v>
      </c>
      <c r="F107" s="68" t="s">
        <v>282</v>
      </c>
      <c r="G107" s="143">
        <f t="shared" si="0"/>
        <v>0</v>
      </c>
      <c r="H107" s="154">
        <f>H108+H109</f>
        <v>0</v>
      </c>
      <c r="I107" s="154">
        <f>I108+I109</f>
        <v>0</v>
      </c>
      <c r="J107" s="154">
        <f>J108+J109</f>
        <v>0</v>
      </c>
      <c r="K107" s="154">
        <f>K108+K109</f>
        <v>0</v>
      </c>
      <c r="L107" s="137"/>
      <c r="M107" s="52"/>
      <c r="P107" s="115"/>
    </row>
    <row r="108" spans="3:16" ht="12.75">
      <c r="C108" s="130"/>
      <c r="D108" s="107" t="s">
        <v>433</v>
      </c>
      <c r="E108" s="72" t="s">
        <v>283</v>
      </c>
      <c r="F108" s="68" t="s">
        <v>284</v>
      </c>
      <c r="G108" s="143">
        <f t="shared" si="0"/>
        <v>0</v>
      </c>
      <c r="H108" s="152"/>
      <c r="I108" s="152"/>
      <c r="J108" s="152"/>
      <c r="K108" s="152"/>
      <c r="L108" s="137"/>
      <c r="M108" s="52"/>
      <c r="P108" s="115"/>
    </row>
    <row r="109" spans="3:16" ht="12.75">
      <c r="C109" s="130"/>
      <c r="D109" s="107" t="s">
        <v>434</v>
      </c>
      <c r="E109" s="72" t="s">
        <v>285</v>
      </c>
      <c r="F109" s="68" t="s">
        <v>286</v>
      </c>
      <c r="G109" s="143">
        <f t="shared" si="0"/>
        <v>0</v>
      </c>
      <c r="H109" s="152"/>
      <c r="I109" s="152"/>
      <c r="J109" s="152"/>
      <c r="K109" s="152"/>
      <c r="L109" s="137"/>
      <c r="M109" s="52"/>
      <c r="P109" s="115"/>
    </row>
    <row r="110" spans="3:16" ht="45">
      <c r="C110" s="130"/>
      <c r="D110" s="107" t="s">
        <v>432</v>
      </c>
      <c r="E110" s="71" t="s">
        <v>513</v>
      </c>
      <c r="F110" s="68" t="s">
        <v>287</v>
      </c>
      <c r="G110" s="143">
        <f t="shared" si="0"/>
        <v>0</v>
      </c>
      <c r="H110" s="154">
        <f>H111+H112</f>
        <v>0</v>
      </c>
      <c r="I110" s="154">
        <f>I111+I112</f>
        <v>0</v>
      </c>
      <c r="J110" s="154">
        <f>J111+J112</f>
        <v>0</v>
      </c>
      <c r="K110" s="154">
        <f>K111+K112</f>
        <v>0</v>
      </c>
      <c r="L110" s="137"/>
      <c r="M110" s="52"/>
      <c r="P110" s="115"/>
    </row>
    <row r="111" spans="3:16" ht="12.75">
      <c r="C111" s="130"/>
      <c r="D111" s="107" t="s">
        <v>435</v>
      </c>
      <c r="E111" s="72" t="s">
        <v>283</v>
      </c>
      <c r="F111" s="68" t="s">
        <v>288</v>
      </c>
      <c r="G111" s="143">
        <f t="shared" si="0"/>
        <v>0</v>
      </c>
      <c r="H111" s="152"/>
      <c r="I111" s="152"/>
      <c r="J111" s="152"/>
      <c r="K111" s="152"/>
      <c r="L111" s="137"/>
      <c r="M111" s="52"/>
      <c r="P111" s="115"/>
    </row>
    <row r="112" spans="3:16" ht="12.75">
      <c r="C112" s="130"/>
      <c r="D112" s="107" t="s">
        <v>436</v>
      </c>
      <c r="E112" s="72" t="s">
        <v>285</v>
      </c>
      <c r="F112" s="68" t="s">
        <v>289</v>
      </c>
      <c r="G112" s="143">
        <f t="shared" si="0"/>
        <v>0</v>
      </c>
      <c r="H112" s="152"/>
      <c r="I112" s="152"/>
      <c r="J112" s="152"/>
      <c r="K112" s="152"/>
      <c r="L112" s="137"/>
      <c r="M112" s="52"/>
      <c r="P112" s="115"/>
    </row>
    <row r="113" spans="3:16" ht="22.5">
      <c r="C113" s="130"/>
      <c r="D113" s="107" t="s">
        <v>437</v>
      </c>
      <c r="E113" s="71" t="s">
        <v>514</v>
      </c>
      <c r="F113" s="68" t="s">
        <v>290</v>
      </c>
      <c r="G113" s="143">
        <f t="shared" si="0"/>
        <v>0</v>
      </c>
      <c r="H113" s="154">
        <f>H114+H115</f>
        <v>0</v>
      </c>
      <c r="I113" s="154">
        <f>I114+I115</f>
        <v>0</v>
      </c>
      <c r="J113" s="154">
        <f>J114+J115</f>
        <v>0</v>
      </c>
      <c r="K113" s="154">
        <f>K114+K115</f>
        <v>0</v>
      </c>
      <c r="L113" s="137"/>
      <c r="M113" s="52"/>
      <c r="P113" s="115"/>
    </row>
    <row r="114" spans="3:16" ht="12.75">
      <c r="C114" s="130"/>
      <c r="D114" s="107" t="s">
        <v>438</v>
      </c>
      <c r="E114" s="72" t="s">
        <v>283</v>
      </c>
      <c r="F114" s="68" t="s">
        <v>291</v>
      </c>
      <c r="G114" s="143">
        <f t="shared" si="0"/>
        <v>0</v>
      </c>
      <c r="H114" s="152"/>
      <c r="I114" s="152"/>
      <c r="J114" s="152"/>
      <c r="K114" s="152"/>
      <c r="L114" s="137"/>
      <c r="M114" s="52"/>
      <c r="P114" s="115"/>
    </row>
    <row r="115" spans="3:16" ht="12.75">
      <c r="C115" s="130"/>
      <c r="D115" s="107" t="s">
        <v>439</v>
      </c>
      <c r="E115" s="72" t="s">
        <v>285</v>
      </c>
      <c r="F115" s="68" t="s">
        <v>292</v>
      </c>
      <c r="G115" s="143">
        <f t="shared" si="0"/>
        <v>0</v>
      </c>
      <c r="H115" s="152"/>
      <c r="I115" s="152"/>
      <c r="J115" s="152"/>
      <c r="K115" s="152"/>
      <c r="L115" s="137"/>
      <c r="M115" s="52"/>
      <c r="P115" s="115"/>
    </row>
    <row r="116" spans="3:16" ht="22.5">
      <c r="C116" s="130"/>
      <c r="D116" s="107" t="s">
        <v>440</v>
      </c>
      <c r="E116" s="71" t="s">
        <v>293</v>
      </c>
      <c r="F116" s="68" t="s">
        <v>294</v>
      </c>
      <c r="G116" s="143">
        <f t="shared" si="0"/>
        <v>0</v>
      </c>
      <c r="H116" s="152"/>
      <c r="I116" s="152"/>
      <c r="J116" s="152"/>
      <c r="K116" s="152"/>
      <c r="L116" s="137"/>
      <c r="M116" s="52"/>
      <c r="P116" s="115"/>
    </row>
    <row r="117" spans="3:16" ht="12.75">
      <c r="C117" s="130"/>
      <c r="D117" s="107" t="s">
        <v>441</v>
      </c>
      <c r="E117" s="71" t="s">
        <v>295</v>
      </c>
      <c r="F117" s="68" t="s">
        <v>296</v>
      </c>
      <c r="G117" s="143">
        <f t="shared" si="0"/>
        <v>0</v>
      </c>
      <c r="H117" s="152"/>
      <c r="I117" s="152"/>
      <c r="J117" s="152"/>
      <c r="K117" s="152"/>
      <c r="L117" s="137"/>
      <c r="M117" s="52"/>
      <c r="P117" s="115"/>
    </row>
    <row r="118" spans="3:16" ht="45">
      <c r="C118" s="130"/>
      <c r="D118" s="107" t="s">
        <v>442</v>
      </c>
      <c r="E118" s="71" t="s">
        <v>479</v>
      </c>
      <c r="F118" s="68" t="s">
        <v>297</v>
      </c>
      <c r="G118" s="143">
        <f t="shared" si="0"/>
        <v>0</v>
      </c>
      <c r="H118" s="152"/>
      <c r="I118" s="152"/>
      <c r="J118" s="152"/>
      <c r="K118" s="152"/>
      <c r="L118" s="137"/>
      <c r="M118" s="52"/>
      <c r="P118" s="115"/>
    </row>
    <row r="119" spans="3:16" ht="22.5">
      <c r="C119" s="130"/>
      <c r="D119" s="107" t="s">
        <v>443</v>
      </c>
      <c r="E119" s="71" t="s">
        <v>298</v>
      </c>
      <c r="F119" s="68" t="s">
        <v>299</v>
      </c>
      <c r="G119" s="143">
        <f t="shared" si="0"/>
        <v>0</v>
      </c>
      <c r="H119" s="152"/>
      <c r="I119" s="152"/>
      <c r="J119" s="152"/>
      <c r="K119" s="152"/>
      <c r="L119" s="137"/>
      <c r="M119" s="52"/>
      <c r="P119" s="115"/>
    </row>
    <row r="120" spans="3:16" ht="12.75">
      <c r="C120" s="130"/>
      <c r="D120" s="107" t="s">
        <v>444</v>
      </c>
      <c r="E120" s="67" t="s">
        <v>515</v>
      </c>
      <c r="F120" s="68" t="s">
        <v>300</v>
      </c>
      <c r="G120" s="143">
        <f t="shared" si="0"/>
        <v>0</v>
      </c>
      <c r="H120" s="153">
        <f>H123</f>
        <v>0</v>
      </c>
      <c r="I120" s="153">
        <f>I123</f>
        <v>0</v>
      </c>
      <c r="J120" s="153">
        <f>J123</f>
        <v>0</v>
      </c>
      <c r="K120" s="153">
        <f>K123</f>
        <v>0</v>
      </c>
      <c r="L120" s="137"/>
      <c r="M120" s="52"/>
      <c r="P120" s="115">
        <v>770</v>
      </c>
    </row>
    <row r="121" spans="3:16" ht="12.75">
      <c r="C121" s="130"/>
      <c r="D121" s="107" t="s">
        <v>445</v>
      </c>
      <c r="E121" s="69" t="s">
        <v>508</v>
      </c>
      <c r="F121" s="68" t="s">
        <v>301</v>
      </c>
      <c r="G121" s="143">
        <f t="shared" si="0"/>
        <v>0</v>
      </c>
      <c r="H121" s="152"/>
      <c r="I121" s="152"/>
      <c r="J121" s="152"/>
      <c r="K121" s="152"/>
      <c r="L121" s="137"/>
      <c r="M121" s="52"/>
      <c r="P121" s="115">
        <v>780</v>
      </c>
    </row>
    <row r="122" spans="3:16" ht="12.75">
      <c r="C122" s="130"/>
      <c r="D122" s="107" t="s">
        <v>446</v>
      </c>
      <c r="E122" s="71" t="s">
        <v>516</v>
      </c>
      <c r="F122" s="68" t="s">
        <v>302</v>
      </c>
      <c r="G122" s="143">
        <f t="shared" si="0"/>
        <v>0</v>
      </c>
      <c r="H122" s="152"/>
      <c r="I122" s="152"/>
      <c r="J122" s="152"/>
      <c r="K122" s="152"/>
      <c r="L122" s="137"/>
      <c r="M122" s="52"/>
      <c r="P122" s="115"/>
    </row>
    <row r="123" spans="3:16" ht="12.75">
      <c r="C123" s="130"/>
      <c r="D123" s="107" t="s">
        <v>447</v>
      </c>
      <c r="E123" s="69" t="s">
        <v>478</v>
      </c>
      <c r="F123" s="68" t="s">
        <v>303</v>
      </c>
      <c r="G123" s="143">
        <f t="shared" si="0"/>
        <v>0</v>
      </c>
      <c r="H123" s="152"/>
      <c r="I123" s="152"/>
      <c r="J123" s="152"/>
      <c r="K123" s="152"/>
      <c r="L123" s="137"/>
      <c r="M123" s="52"/>
      <c r="P123" s="115">
        <v>790</v>
      </c>
    </row>
    <row r="124" spans="3:16" ht="22.5">
      <c r="C124" s="130"/>
      <c r="D124" s="107" t="s">
        <v>448</v>
      </c>
      <c r="E124" s="89" t="s">
        <v>517</v>
      </c>
      <c r="F124" s="68" t="s">
        <v>304</v>
      </c>
      <c r="G124" s="143">
        <f t="shared" si="0"/>
        <v>6719.1619999999994</v>
      </c>
      <c r="H124" s="153">
        <f>SUM(H125:H126)</f>
        <v>0.17100000000000001</v>
      </c>
      <c r="I124" s="153">
        <f>SUM(I125:I126)</f>
        <v>3188.6390000000001</v>
      </c>
      <c r="J124" s="153">
        <f>SUM(J125:J126)</f>
        <v>2429.1689999999994</v>
      </c>
      <c r="K124" s="153">
        <f>SUM(K125:K126)</f>
        <v>1101.183</v>
      </c>
      <c r="L124" s="137"/>
      <c r="M124" s="52"/>
      <c r="P124" s="115"/>
    </row>
    <row r="125" spans="3:16" ht="12.75">
      <c r="C125" s="130"/>
      <c r="D125" s="107" t="s">
        <v>449</v>
      </c>
      <c r="E125" s="67" t="s">
        <v>167</v>
      </c>
      <c r="F125" s="68" t="s">
        <v>305</v>
      </c>
      <c r="G125" s="143">
        <f t="shared" si="0"/>
        <v>0</v>
      </c>
      <c r="H125" s="152"/>
      <c r="I125" s="152"/>
      <c r="J125" s="152"/>
      <c r="K125" s="152"/>
      <c r="L125" s="137"/>
      <c r="M125" s="52"/>
      <c r="P125" s="115"/>
    </row>
    <row r="126" spans="3:16" ht="12.75">
      <c r="C126" s="130"/>
      <c r="D126" s="107" t="s">
        <v>450</v>
      </c>
      <c r="E126" s="67" t="s">
        <v>507</v>
      </c>
      <c r="F126" s="68" t="s">
        <v>306</v>
      </c>
      <c r="G126" s="143">
        <f t="shared" si="0"/>
        <v>6719.1619999999994</v>
      </c>
      <c r="H126" s="153">
        <f>H128</f>
        <v>0.17100000000000001</v>
      </c>
      <c r="I126" s="153">
        <f>I128</f>
        <v>3188.6390000000001</v>
      </c>
      <c r="J126" s="153">
        <f>J128</f>
        <v>2429.1689999999994</v>
      </c>
      <c r="K126" s="153">
        <f>K128</f>
        <v>1101.183</v>
      </c>
      <c r="L126" s="137"/>
      <c r="M126" s="52"/>
      <c r="P126" s="115"/>
    </row>
    <row r="127" spans="3:16" ht="12.75">
      <c r="C127" s="130"/>
      <c r="D127" s="107" t="s">
        <v>451</v>
      </c>
      <c r="E127" s="69" t="s">
        <v>272</v>
      </c>
      <c r="F127" s="68" t="s">
        <v>307</v>
      </c>
      <c r="G127" s="143">
        <f t="shared" si="0"/>
        <v>56.423000000000002</v>
      </c>
      <c r="H127" s="152"/>
      <c r="I127" s="152">
        <f>I94</f>
        <v>56.423000000000002</v>
      </c>
      <c r="J127" s="152"/>
      <c r="K127" s="152"/>
      <c r="L127" s="137"/>
      <c r="M127" s="52"/>
      <c r="P127" s="115"/>
    </row>
    <row r="128" spans="3:16" ht="12.75">
      <c r="C128" s="130"/>
      <c r="D128" s="107" t="s">
        <v>452</v>
      </c>
      <c r="E128" s="69" t="s">
        <v>478</v>
      </c>
      <c r="F128" s="68" t="s">
        <v>308</v>
      </c>
      <c r="G128" s="143">
        <f t="shared" si="0"/>
        <v>6719.1619999999994</v>
      </c>
      <c r="H128" s="152">
        <f>H48+H34</f>
        <v>0.17100000000000001</v>
      </c>
      <c r="I128" s="152">
        <f>I34+38.255</f>
        <v>3188.6390000000001</v>
      </c>
      <c r="J128" s="152">
        <f>J34+3.615+10.95</f>
        <v>2429.1689999999994</v>
      </c>
      <c r="K128" s="152">
        <f>K34</f>
        <v>1101.183</v>
      </c>
      <c r="L128" s="137"/>
      <c r="M128" s="52"/>
      <c r="P128" s="115"/>
    </row>
    <row r="129" spans="3:16" ht="12.75">
      <c r="C129" s="130"/>
      <c r="D129" s="174" t="s">
        <v>203</v>
      </c>
      <c r="E129" s="175"/>
      <c r="F129" s="175"/>
      <c r="G129" s="175"/>
      <c r="H129" s="175"/>
      <c r="I129" s="175"/>
      <c r="J129" s="175"/>
      <c r="K129" s="176"/>
      <c r="L129" s="137"/>
      <c r="M129" s="52"/>
      <c r="P129" s="117"/>
    </row>
    <row r="130" spans="3:16" ht="22.5">
      <c r="C130" s="130"/>
      <c r="D130" s="107" t="s">
        <v>453</v>
      </c>
      <c r="E130" s="88" t="s">
        <v>518</v>
      </c>
      <c r="F130" s="68" t="s">
        <v>309</v>
      </c>
      <c r="G130" s="143">
        <f t="shared" si="0"/>
        <v>0</v>
      </c>
      <c r="H130" s="153">
        <f>SUM( H131:H132)</f>
        <v>0</v>
      </c>
      <c r="I130" s="153">
        <f>SUM( I131:I132)</f>
        <v>0</v>
      </c>
      <c r="J130" s="153">
        <f>SUM( J131:J132)</f>
        <v>0</v>
      </c>
      <c r="K130" s="153">
        <f>SUM( K131:K132)</f>
        <v>0</v>
      </c>
      <c r="L130" s="137"/>
      <c r="M130" s="52"/>
      <c r="P130" s="115">
        <v>800</v>
      </c>
    </row>
    <row r="131" spans="3:16" ht="12.75">
      <c r="C131" s="130"/>
      <c r="D131" s="107" t="s">
        <v>454</v>
      </c>
      <c r="E131" s="67" t="s">
        <v>167</v>
      </c>
      <c r="F131" s="68" t="s">
        <v>310</v>
      </c>
      <c r="G131" s="143">
        <f t="shared" si="0"/>
        <v>0</v>
      </c>
      <c r="H131" s="152"/>
      <c r="I131" s="152"/>
      <c r="J131" s="152"/>
      <c r="K131" s="152"/>
      <c r="L131" s="137"/>
      <c r="M131" s="52"/>
      <c r="P131" s="115">
        <v>810</v>
      </c>
    </row>
    <row r="132" spans="3:16" ht="12.75">
      <c r="C132" s="130"/>
      <c r="D132" s="107" t="s">
        <v>455</v>
      </c>
      <c r="E132" s="67" t="s">
        <v>507</v>
      </c>
      <c r="F132" s="68" t="s">
        <v>311</v>
      </c>
      <c r="G132" s="143">
        <f t="shared" si="0"/>
        <v>0</v>
      </c>
      <c r="H132" s="153">
        <f>H133+H135</f>
        <v>0</v>
      </c>
      <c r="I132" s="153">
        <f>I133+I135</f>
        <v>0</v>
      </c>
      <c r="J132" s="153">
        <f>J133+J135</f>
        <v>0</v>
      </c>
      <c r="K132" s="153">
        <f>K133+K135</f>
        <v>0</v>
      </c>
      <c r="L132" s="137"/>
      <c r="M132" s="52"/>
      <c r="P132" s="115">
        <v>820</v>
      </c>
    </row>
    <row r="133" spans="3:16" ht="12.75">
      <c r="C133" s="130"/>
      <c r="D133" s="107" t="s">
        <v>456</v>
      </c>
      <c r="E133" s="69" t="s">
        <v>519</v>
      </c>
      <c r="F133" s="68" t="s">
        <v>312</v>
      </c>
      <c r="G133" s="143">
        <f t="shared" si="0"/>
        <v>0</v>
      </c>
      <c r="H133" s="152"/>
      <c r="I133" s="152"/>
      <c r="J133" s="152"/>
      <c r="K133" s="152"/>
      <c r="L133" s="137"/>
      <c r="M133" s="52"/>
      <c r="P133" s="115">
        <v>830</v>
      </c>
    </row>
    <row r="134" spans="3:16" ht="12.75">
      <c r="C134" s="130"/>
      <c r="D134" s="107" t="s">
        <v>457</v>
      </c>
      <c r="E134" s="71" t="s">
        <v>520</v>
      </c>
      <c r="F134" s="68" t="s">
        <v>313</v>
      </c>
      <c r="G134" s="143">
        <f t="shared" si="0"/>
        <v>0</v>
      </c>
      <c r="H134" s="152"/>
      <c r="I134" s="152"/>
      <c r="J134" s="152"/>
      <c r="K134" s="152"/>
      <c r="L134" s="137"/>
      <c r="M134" s="52"/>
      <c r="P134" s="117"/>
    </row>
    <row r="135" spans="3:16" ht="12.75">
      <c r="C135" s="130"/>
      <c r="D135" s="107" t="s">
        <v>458</v>
      </c>
      <c r="E135" s="69" t="s">
        <v>169</v>
      </c>
      <c r="F135" s="68" t="s">
        <v>314</v>
      </c>
      <c r="G135" s="143">
        <f t="shared" si="0"/>
        <v>0</v>
      </c>
      <c r="H135" s="152"/>
      <c r="I135" s="152"/>
      <c r="J135" s="152"/>
      <c r="K135" s="152"/>
      <c r="L135" s="137"/>
      <c r="M135" s="52"/>
      <c r="P135" s="115">
        <v>840</v>
      </c>
    </row>
    <row r="136" spans="3:16" ht="12.75">
      <c r="C136" s="130"/>
      <c r="D136" s="107" t="s">
        <v>336</v>
      </c>
      <c r="E136" s="88" t="s">
        <v>521</v>
      </c>
      <c r="F136" s="68" t="s">
        <v>315</v>
      </c>
      <c r="G136" s="143">
        <f t="shared" si="0"/>
        <v>0</v>
      </c>
      <c r="H136" s="154">
        <f>SUM( H137+H142)</f>
        <v>0</v>
      </c>
      <c r="I136" s="154">
        <f>SUM( I137+I142)</f>
        <v>0</v>
      </c>
      <c r="J136" s="154">
        <f>SUM( J137+J142)</f>
        <v>0</v>
      </c>
      <c r="K136" s="154">
        <f>SUM( K137+K142)</f>
        <v>0</v>
      </c>
      <c r="L136" s="155"/>
      <c r="M136" s="52"/>
      <c r="P136" s="115">
        <v>850</v>
      </c>
    </row>
    <row r="137" spans="3:16" ht="12.75">
      <c r="C137" s="130"/>
      <c r="D137" s="107" t="s">
        <v>459</v>
      </c>
      <c r="E137" s="67" t="s">
        <v>167</v>
      </c>
      <c r="F137" s="68" t="s">
        <v>316</v>
      </c>
      <c r="G137" s="143">
        <f t="shared" ref="G137:G150" si="1">SUM(H137:K137)</f>
        <v>0</v>
      </c>
      <c r="H137" s="154">
        <f>SUM( H138:H139)</f>
        <v>0</v>
      </c>
      <c r="I137" s="154">
        <f>SUM( I138:I139)</f>
        <v>0</v>
      </c>
      <c r="J137" s="154">
        <f>SUM( J138:J139)</f>
        <v>0</v>
      </c>
      <c r="K137" s="154">
        <f>SUM( K138:K139)</f>
        <v>0</v>
      </c>
      <c r="L137" s="155"/>
      <c r="M137" s="52"/>
      <c r="P137" s="115">
        <v>860</v>
      </c>
    </row>
    <row r="138" spans="3:16" ht="12.75">
      <c r="C138" s="130"/>
      <c r="D138" s="107" t="s">
        <v>460</v>
      </c>
      <c r="E138" s="69" t="s">
        <v>222</v>
      </c>
      <c r="F138" s="68" t="s">
        <v>317</v>
      </c>
      <c r="G138" s="143">
        <f t="shared" si="1"/>
        <v>0</v>
      </c>
      <c r="H138" s="156"/>
      <c r="I138" s="156"/>
      <c r="J138" s="156"/>
      <c r="K138" s="156"/>
      <c r="L138" s="155"/>
      <c r="M138" s="52"/>
      <c r="P138" s="115"/>
    </row>
    <row r="139" spans="3:16" ht="12.75">
      <c r="C139" s="130"/>
      <c r="D139" s="107" t="s">
        <v>461</v>
      </c>
      <c r="E139" s="69" t="s">
        <v>511</v>
      </c>
      <c r="F139" s="68" t="s">
        <v>318</v>
      </c>
      <c r="G139" s="143">
        <f t="shared" si="1"/>
        <v>0</v>
      </c>
      <c r="H139" s="154">
        <f>H140+H141</f>
        <v>0</v>
      </c>
      <c r="I139" s="154">
        <f>I140+I141</f>
        <v>0</v>
      </c>
      <c r="J139" s="154">
        <f>J140+J141</f>
        <v>0</v>
      </c>
      <c r="K139" s="154">
        <f>K140+K141</f>
        <v>0</v>
      </c>
      <c r="L139" s="155"/>
      <c r="M139" s="52"/>
      <c r="P139" s="115"/>
    </row>
    <row r="140" spans="3:16" ht="12.75">
      <c r="C140" s="130"/>
      <c r="D140" s="107" t="s">
        <v>462</v>
      </c>
      <c r="E140" s="71" t="s">
        <v>283</v>
      </c>
      <c r="F140" s="68" t="s">
        <v>319</v>
      </c>
      <c r="G140" s="143">
        <f t="shared" si="1"/>
        <v>0</v>
      </c>
      <c r="H140" s="156"/>
      <c r="I140" s="156"/>
      <c r="J140" s="156"/>
      <c r="K140" s="156"/>
      <c r="L140" s="155"/>
      <c r="M140" s="52"/>
      <c r="P140" s="115"/>
    </row>
    <row r="141" spans="3:16" ht="12.75">
      <c r="C141" s="130"/>
      <c r="D141" s="107" t="s">
        <v>463</v>
      </c>
      <c r="E141" s="71" t="s">
        <v>320</v>
      </c>
      <c r="F141" s="68" t="s">
        <v>321</v>
      </c>
      <c r="G141" s="143">
        <f t="shared" si="1"/>
        <v>0</v>
      </c>
      <c r="H141" s="156"/>
      <c r="I141" s="156"/>
      <c r="J141" s="156"/>
      <c r="K141" s="156"/>
      <c r="L141" s="155"/>
      <c r="M141" s="52"/>
      <c r="P141" s="115"/>
    </row>
    <row r="142" spans="3:16" ht="12.75">
      <c r="C142" s="130"/>
      <c r="D142" s="107" t="s">
        <v>464</v>
      </c>
      <c r="E142" s="67" t="s">
        <v>515</v>
      </c>
      <c r="F142" s="68" t="s">
        <v>322</v>
      </c>
      <c r="G142" s="143">
        <f t="shared" si="1"/>
        <v>0</v>
      </c>
      <c r="H142" s="154">
        <f>H143+H145</f>
        <v>0</v>
      </c>
      <c r="I142" s="154">
        <f>I143+I145</f>
        <v>0</v>
      </c>
      <c r="J142" s="154">
        <f>J143+J145</f>
        <v>0</v>
      </c>
      <c r="K142" s="154">
        <f>K143+K145</f>
        <v>0</v>
      </c>
      <c r="L142" s="155"/>
      <c r="M142" s="52"/>
      <c r="P142" s="115">
        <v>870</v>
      </c>
    </row>
    <row r="143" spans="3:16" ht="12.75">
      <c r="C143" s="130"/>
      <c r="D143" s="107" t="s">
        <v>465</v>
      </c>
      <c r="E143" s="69" t="s">
        <v>519</v>
      </c>
      <c r="F143" s="68" t="s">
        <v>323</v>
      </c>
      <c r="G143" s="143">
        <f t="shared" si="1"/>
        <v>0</v>
      </c>
      <c r="H143" s="152"/>
      <c r="I143" s="152"/>
      <c r="J143" s="152"/>
      <c r="K143" s="152"/>
      <c r="L143" s="155"/>
      <c r="M143" s="52"/>
      <c r="P143" s="115">
        <v>880</v>
      </c>
    </row>
    <row r="144" spans="3:16" ht="12.75">
      <c r="C144" s="130"/>
      <c r="D144" s="107" t="s">
        <v>466</v>
      </c>
      <c r="E144" s="71" t="s">
        <v>520</v>
      </c>
      <c r="F144" s="68" t="s">
        <v>324</v>
      </c>
      <c r="G144" s="143">
        <f t="shared" si="1"/>
        <v>0</v>
      </c>
      <c r="H144" s="152"/>
      <c r="I144" s="152"/>
      <c r="J144" s="152"/>
      <c r="K144" s="152"/>
      <c r="L144" s="155"/>
      <c r="M144" s="52"/>
      <c r="P144" s="115"/>
    </row>
    <row r="145" spans="3:19" ht="12.75">
      <c r="C145" s="130"/>
      <c r="D145" s="107" t="s">
        <v>467</v>
      </c>
      <c r="E145" s="69" t="s">
        <v>169</v>
      </c>
      <c r="F145" s="68" t="s">
        <v>325</v>
      </c>
      <c r="G145" s="143">
        <f t="shared" si="1"/>
        <v>0</v>
      </c>
      <c r="H145" s="157"/>
      <c r="I145" s="157"/>
      <c r="J145" s="157"/>
      <c r="K145" s="157"/>
      <c r="L145" s="155"/>
      <c r="M145" s="52"/>
      <c r="P145" s="115">
        <v>890</v>
      </c>
    </row>
    <row r="146" spans="3:19" ht="22.5">
      <c r="C146" s="130"/>
      <c r="D146" s="107" t="s">
        <v>468</v>
      </c>
      <c r="E146" s="88" t="s">
        <v>522</v>
      </c>
      <c r="F146" s="68" t="s">
        <v>326</v>
      </c>
      <c r="G146" s="143">
        <f t="shared" si="1"/>
        <v>4165.3482002159999</v>
      </c>
      <c r="H146" s="158">
        <f>SUM( H147:H148)</f>
        <v>1.6785359999999999E-2</v>
      </c>
      <c r="I146" s="158">
        <f>SUM( I147:I148)</f>
        <v>3818.7920625360002</v>
      </c>
      <c r="J146" s="158">
        <f>SUM( J147:J148)</f>
        <v>238.44722903999991</v>
      </c>
      <c r="K146" s="158">
        <f>SUM( K147:K148)</f>
        <v>108.09212327999998</v>
      </c>
      <c r="L146" s="155"/>
      <c r="M146" s="52"/>
      <c r="P146" s="115">
        <v>900</v>
      </c>
    </row>
    <row r="147" spans="3:19" ht="12.75">
      <c r="C147" s="130"/>
      <c r="D147" s="107" t="s">
        <v>469</v>
      </c>
      <c r="E147" s="67" t="s">
        <v>167</v>
      </c>
      <c r="F147" s="68" t="s">
        <v>327</v>
      </c>
      <c r="G147" s="143">
        <f t="shared" si="1"/>
        <v>0</v>
      </c>
      <c r="H147" s="157"/>
      <c r="I147" s="157"/>
      <c r="J147" s="157"/>
      <c r="K147" s="157"/>
      <c r="L147" s="155"/>
      <c r="M147" s="52"/>
      <c r="P147" s="115"/>
    </row>
    <row r="148" spans="3:19" ht="12.75">
      <c r="C148" s="130"/>
      <c r="D148" s="107" t="s">
        <v>470</v>
      </c>
      <c r="E148" s="67" t="s">
        <v>507</v>
      </c>
      <c r="F148" s="68" t="s">
        <v>328</v>
      </c>
      <c r="G148" s="143">
        <f t="shared" si="1"/>
        <v>4165.3482002159999</v>
      </c>
      <c r="H148" s="158">
        <f>H149+H150</f>
        <v>1.6785359999999999E-2</v>
      </c>
      <c r="I148" s="158">
        <f>I149+I150</f>
        <v>3818.7920625360002</v>
      </c>
      <c r="J148" s="158">
        <f>J149+J150</f>
        <v>238.44722903999991</v>
      </c>
      <c r="K148" s="158">
        <f>K149+K150</f>
        <v>108.09212327999998</v>
      </c>
      <c r="L148" s="155"/>
      <c r="M148" s="52"/>
      <c r="P148" s="115"/>
    </row>
    <row r="149" spans="3:19" ht="12.75">
      <c r="C149" s="130"/>
      <c r="D149" s="107" t="s">
        <v>471</v>
      </c>
      <c r="E149" s="69" t="s">
        <v>168</v>
      </c>
      <c r="F149" s="68" t="s">
        <v>331</v>
      </c>
      <c r="G149" s="143">
        <f t="shared" si="1"/>
        <v>3505.7952582960002</v>
      </c>
      <c r="H149" s="157"/>
      <c r="I149" s="157">
        <f>I127*51778.46/1000*1.2</f>
        <v>3505.7952582960002</v>
      </c>
      <c r="J149" s="157"/>
      <c r="K149" s="157"/>
      <c r="L149" s="155"/>
      <c r="M149" s="52"/>
      <c r="P149" s="115" t="s">
        <v>329</v>
      </c>
    </row>
    <row r="150" spans="3:19" ht="12.75">
      <c r="C150" s="130"/>
      <c r="D150" s="107" t="s">
        <v>472</v>
      </c>
      <c r="E150" s="69" t="s">
        <v>169</v>
      </c>
      <c r="F150" s="68" t="s">
        <v>332</v>
      </c>
      <c r="G150" s="143">
        <f t="shared" si="1"/>
        <v>659.55294191999985</v>
      </c>
      <c r="H150" s="157">
        <f>H128*81.8/1000*1.2</f>
        <v>1.6785359999999999E-2</v>
      </c>
      <c r="I150" s="157">
        <f>I128*81.8/1000*1.2</f>
        <v>312.99680423999996</v>
      </c>
      <c r="J150" s="157">
        <f>J128*81.8/1000*1.2</f>
        <v>238.44722903999991</v>
      </c>
      <c r="K150" s="157">
        <f>K128*81.8/1000*1.2</f>
        <v>108.09212327999998</v>
      </c>
      <c r="L150" s="155"/>
      <c r="M150" s="52"/>
      <c r="P150" s="115" t="s">
        <v>330</v>
      </c>
    </row>
    <row r="151" spans="3:19">
      <c r="D151" s="135"/>
      <c r="E151" s="159"/>
      <c r="F151" s="159"/>
      <c r="G151" s="159"/>
      <c r="H151" s="159"/>
      <c r="I151" s="159"/>
      <c r="J151" s="159"/>
      <c r="K151" s="160"/>
      <c r="L151" s="160"/>
      <c r="M151" s="160"/>
      <c r="N151" s="160"/>
      <c r="O151" s="160"/>
      <c r="P151" s="160"/>
      <c r="Q151" s="160"/>
      <c r="R151" s="161"/>
      <c r="S151" s="161"/>
    </row>
    <row r="152" spans="3:19" ht="12.75">
      <c r="E152" s="52" t="s">
        <v>204</v>
      </c>
      <c r="F152" s="180" t="str">
        <f>IF([7]Титульный!G45="","",[7]Титульный!G45)</f>
        <v>ведущий экономист</v>
      </c>
      <c r="G152" s="180"/>
      <c r="H152" s="53"/>
      <c r="I152" s="180" t="str">
        <f>IF([7]Титульный!G44="","",[7]Титульный!G44)</f>
        <v>Кривнева Е.В.</v>
      </c>
      <c r="J152" s="180"/>
      <c r="K152" s="180"/>
      <c r="L152" s="53"/>
      <c r="M152" s="55"/>
      <c r="N152" s="55"/>
      <c r="O152" s="54"/>
      <c r="P152" s="160"/>
      <c r="Q152" s="160"/>
      <c r="R152" s="161"/>
      <c r="S152" s="161"/>
    </row>
    <row r="153" spans="3:19" ht="12.75">
      <c r="E153" s="56" t="s">
        <v>205</v>
      </c>
      <c r="F153" s="181" t="s">
        <v>176</v>
      </c>
      <c r="G153" s="181"/>
      <c r="H153" s="54"/>
      <c r="I153" s="181" t="s">
        <v>174</v>
      </c>
      <c r="J153" s="181"/>
      <c r="K153" s="181"/>
      <c r="L153" s="54"/>
      <c r="M153" s="181" t="s">
        <v>175</v>
      </c>
      <c r="N153" s="181"/>
      <c r="O153" s="52"/>
      <c r="P153" s="160"/>
      <c r="Q153" s="160"/>
      <c r="R153" s="161"/>
      <c r="S153" s="161"/>
    </row>
    <row r="154" spans="3:19" ht="12.75">
      <c r="E154" s="56" t="s">
        <v>206</v>
      </c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160"/>
      <c r="Q154" s="160"/>
      <c r="R154" s="161"/>
      <c r="S154" s="161"/>
    </row>
    <row r="155" spans="3:19" ht="12.75">
      <c r="E155" s="56" t="s">
        <v>207</v>
      </c>
      <c r="F155" s="180" t="str">
        <f>IF([7]Титульный!G46="","",[7]Титульный!G46)</f>
        <v>(861) 258-50-71</v>
      </c>
      <c r="G155" s="180"/>
      <c r="H155" s="180"/>
      <c r="I155" s="52"/>
      <c r="J155" s="56" t="s">
        <v>177</v>
      </c>
      <c r="K155" s="167"/>
      <c r="L155" s="52"/>
      <c r="M155" s="52"/>
      <c r="N155" s="52"/>
      <c r="O155" s="52"/>
      <c r="P155" s="160"/>
      <c r="Q155" s="160"/>
      <c r="R155" s="161"/>
      <c r="S155" s="161"/>
    </row>
    <row r="156" spans="3:19" ht="12.75">
      <c r="E156" s="52" t="s">
        <v>208</v>
      </c>
      <c r="F156" s="182" t="s">
        <v>178</v>
      </c>
      <c r="G156" s="182"/>
      <c r="H156" s="182"/>
      <c r="I156" s="52"/>
      <c r="J156" s="57" t="s">
        <v>179</v>
      </c>
      <c r="K156" s="57"/>
      <c r="L156" s="52"/>
      <c r="M156" s="52"/>
      <c r="N156" s="52"/>
      <c r="O156" s="52"/>
      <c r="P156" s="160"/>
      <c r="Q156" s="160"/>
      <c r="R156" s="161"/>
      <c r="S156" s="161"/>
    </row>
    <row r="157" spans="3:19"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1"/>
      <c r="S157" s="161"/>
    </row>
    <row r="158" spans="3:19"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1"/>
      <c r="S158" s="161"/>
    </row>
    <row r="159" spans="3:19"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1"/>
      <c r="S159" s="161"/>
    </row>
    <row r="160" spans="3:19"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1"/>
      <c r="S160" s="161"/>
    </row>
    <row r="161" spans="5:19"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1"/>
      <c r="S161" s="161"/>
    </row>
    <row r="162" spans="5:19"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1"/>
      <c r="S162" s="161"/>
    </row>
    <row r="163" spans="5:19"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1"/>
      <c r="S163" s="161"/>
    </row>
    <row r="164" spans="5:19"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1"/>
      <c r="S164" s="161"/>
    </row>
    <row r="165" spans="5:19">
      <c r="E165" s="160"/>
      <c r="F165" s="160"/>
      <c r="G165" s="160"/>
      <c r="H165" s="160"/>
      <c r="I165" s="160"/>
      <c r="J165" s="160"/>
      <c r="K165" s="160"/>
      <c r="L165" s="160"/>
      <c r="M165" s="160"/>
      <c r="N165" s="160"/>
      <c r="O165" s="160"/>
      <c r="P165" s="160"/>
      <c r="Q165" s="160"/>
      <c r="R165" s="161"/>
      <c r="S165" s="161"/>
    </row>
    <row r="166" spans="5:19">
      <c r="E166" s="160"/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1"/>
      <c r="S166" s="161"/>
    </row>
    <row r="167" spans="5:19"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1"/>
      <c r="S167" s="161"/>
    </row>
    <row r="168" spans="5:19"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1"/>
      <c r="S168" s="161"/>
    </row>
    <row r="169" spans="5:19"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1"/>
      <c r="S169" s="161"/>
    </row>
    <row r="170" spans="5:19"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1"/>
      <c r="S170" s="161"/>
    </row>
    <row r="171" spans="5:19"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1"/>
      <c r="S171" s="161"/>
    </row>
    <row r="172" spans="5:19"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1"/>
      <c r="S172" s="161"/>
    </row>
    <row r="173" spans="5:19"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1"/>
      <c r="S173" s="161"/>
    </row>
    <row r="174" spans="5:19"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1"/>
      <c r="S174" s="161"/>
    </row>
    <row r="175" spans="5:19"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1"/>
      <c r="S175" s="161"/>
    </row>
    <row r="176" spans="5:19"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1"/>
      <c r="S176" s="161"/>
    </row>
    <row r="177" spans="5:19"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1"/>
      <c r="S177" s="161"/>
    </row>
    <row r="178" spans="5:19"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1"/>
      <c r="S178" s="161"/>
    </row>
    <row r="179" spans="5:19"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1"/>
      <c r="S179" s="161"/>
    </row>
    <row r="180" spans="5:19"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1"/>
      <c r="S180" s="161"/>
    </row>
    <row r="181" spans="5:19"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1"/>
      <c r="S181" s="161"/>
    </row>
    <row r="182" spans="5:19"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</row>
    <row r="183" spans="5:19">
      <c r="E183" s="161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</row>
    <row r="184" spans="5:19"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</row>
    <row r="185" spans="5:19"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  <c r="P185" s="161"/>
      <c r="Q185" s="161"/>
      <c r="R185" s="161"/>
      <c r="S185" s="161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type="decimal" allowBlank="1" showErrorMessage="1" errorTitle="Ошибка" error="Допускается ввод только действительных чисел!" sqref="G62:K65 G93:K95 G67:K81 G15:K18 G83:K91 G97:K128 G23:K26 G44:K52 G28:K42 G130:K150 G59:K60 G20:K21 G54:K57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42 E25:E26 E81 E64:E65"/>
  </dataValidation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CC181"/>
  <sheetViews>
    <sheetView topLeftCell="C127" workbookViewId="0">
      <selection activeCell="H130" sqref="H130"/>
    </sheetView>
  </sheetViews>
  <sheetFormatPr defaultRowHeight="11.25"/>
  <cols>
    <col min="1" max="2" width="9.140625" style="125" hidden="1" customWidth="1"/>
    <col min="3" max="3" width="4.140625" style="125" customWidth="1"/>
    <col min="4" max="4" width="9.140625" style="125" customWidth="1"/>
    <col min="5" max="5" width="69" style="125" customWidth="1"/>
    <col min="6" max="6" width="6.7109375" style="125" customWidth="1"/>
    <col min="7" max="11" width="15.7109375" style="125" customWidth="1"/>
    <col min="12" max="12" width="6.7109375" style="125" customWidth="1"/>
    <col min="13" max="16" width="15.7109375" style="125" customWidth="1"/>
    <col min="17" max="35" width="11.7109375" style="125" customWidth="1"/>
    <col min="36" max="16384" width="9.140625" style="125"/>
  </cols>
  <sheetData>
    <row r="1" spans="1:81" hidden="1">
      <c r="S1" s="126"/>
      <c r="T1" s="126"/>
      <c r="U1" s="126"/>
      <c r="V1" s="126"/>
      <c r="Y1" s="126"/>
      <c r="AA1" s="126"/>
      <c r="AN1" s="126"/>
      <c r="AO1" s="126"/>
      <c r="AP1" s="126"/>
      <c r="BC1" s="126"/>
      <c r="BF1" s="126"/>
      <c r="BG1" s="126"/>
      <c r="BI1" s="126"/>
      <c r="BM1" s="126"/>
      <c r="BO1" s="126"/>
      <c r="BX1" s="126"/>
      <c r="BY1" s="126"/>
      <c r="CC1" s="126"/>
    </row>
    <row r="2" spans="1:81" hidden="1"/>
    <row r="3" spans="1:81" hidden="1"/>
    <row r="4" spans="1:81" hidden="1">
      <c r="A4" s="127"/>
      <c r="F4" s="128"/>
      <c r="G4" s="128"/>
      <c r="H4" s="128"/>
      <c r="I4" s="128"/>
      <c r="J4" s="128"/>
      <c r="K4" s="128"/>
      <c r="M4" s="128"/>
      <c r="N4" s="128"/>
      <c r="O4" s="128"/>
      <c r="P4" s="128"/>
      <c r="Q4" s="128"/>
    </row>
    <row r="5" spans="1:81" hidden="1">
      <c r="A5" s="129"/>
      <c r="F5" s="125" t="s">
        <v>142</v>
      </c>
      <c r="G5" s="125" t="s">
        <v>143</v>
      </c>
      <c r="H5" s="125" t="s">
        <v>144</v>
      </c>
      <c r="I5" s="125" t="s">
        <v>145</v>
      </c>
      <c r="J5" s="125" t="s">
        <v>146</v>
      </c>
      <c r="K5" s="125" t="s">
        <v>147</v>
      </c>
      <c r="L5" s="125" t="s">
        <v>148</v>
      </c>
      <c r="M5" s="125" t="s">
        <v>149</v>
      </c>
      <c r="N5" s="125" t="s">
        <v>149</v>
      </c>
      <c r="O5" s="125" t="s">
        <v>150</v>
      </c>
      <c r="P5" s="125" t="s">
        <v>151</v>
      </c>
      <c r="Q5" s="125" t="s">
        <v>152</v>
      </c>
    </row>
    <row r="6" spans="1:81" hidden="1">
      <c r="A6" s="129"/>
    </row>
    <row r="7" spans="1:81" ht="12" customHeight="1">
      <c r="A7" s="129"/>
      <c r="D7" s="130"/>
      <c r="E7" s="130"/>
      <c r="F7" s="130"/>
      <c r="G7" s="130"/>
      <c r="H7" s="130"/>
      <c r="I7" s="130"/>
      <c r="J7" s="130"/>
      <c r="K7" s="131"/>
      <c r="Q7" s="132"/>
    </row>
    <row r="8" spans="1:81" ht="22.5" customHeight="1">
      <c r="A8" s="129"/>
      <c r="D8" s="183" t="s">
        <v>153</v>
      </c>
      <c r="E8" s="18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</row>
    <row r="9" spans="1:81">
      <c r="A9" s="129"/>
      <c r="D9" s="134" t="s">
        <v>121</v>
      </c>
      <c r="E9" s="134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</row>
    <row r="10" spans="1:81" ht="12" customHeight="1">
      <c r="D10" s="135"/>
      <c r="E10" s="135"/>
      <c r="F10" s="130"/>
      <c r="G10" s="130"/>
      <c r="H10" s="130"/>
      <c r="I10" s="130"/>
      <c r="K10" s="136" t="s">
        <v>132</v>
      </c>
    </row>
    <row r="11" spans="1:81" ht="15" customHeight="1">
      <c r="C11" s="130"/>
      <c r="D11" s="172" t="s">
        <v>140</v>
      </c>
      <c r="E11" s="185" t="s">
        <v>154</v>
      </c>
      <c r="F11" s="185" t="s">
        <v>133</v>
      </c>
      <c r="G11" s="185" t="s">
        <v>155</v>
      </c>
      <c r="H11" s="185" t="s">
        <v>156</v>
      </c>
      <c r="I11" s="185"/>
      <c r="J11" s="185"/>
      <c r="K11" s="187"/>
      <c r="L11" s="137"/>
    </row>
    <row r="12" spans="1:81" ht="15" customHeight="1">
      <c r="C12" s="130"/>
      <c r="D12" s="184"/>
      <c r="E12" s="186"/>
      <c r="F12" s="186"/>
      <c r="G12" s="186"/>
      <c r="H12" s="168" t="s">
        <v>134</v>
      </c>
      <c r="I12" s="168" t="s">
        <v>135</v>
      </c>
      <c r="J12" s="168" t="s">
        <v>136</v>
      </c>
      <c r="K12" s="139" t="s">
        <v>137</v>
      </c>
      <c r="L12" s="137"/>
    </row>
    <row r="13" spans="1:81" ht="12" customHeight="1">
      <c r="D13" s="25">
        <v>0</v>
      </c>
      <c r="E13" s="25">
        <v>1</v>
      </c>
      <c r="F13" s="25">
        <v>2</v>
      </c>
      <c r="G13" s="25">
        <v>3</v>
      </c>
      <c r="H13" s="25">
        <v>4</v>
      </c>
      <c r="I13" s="25">
        <v>5</v>
      </c>
      <c r="J13" s="25">
        <v>6</v>
      </c>
      <c r="K13" s="25">
        <v>7</v>
      </c>
    </row>
    <row r="14" spans="1:81" s="140" customFormat="1" ht="15" customHeight="1">
      <c r="C14" s="141"/>
      <c r="D14" s="174" t="s">
        <v>200</v>
      </c>
      <c r="E14" s="175"/>
      <c r="F14" s="175"/>
      <c r="G14" s="175"/>
      <c r="H14" s="175"/>
      <c r="I14" s="175"/>
      <c r="J14" s="175"/>
      <c r="K14" s="176"/>
      <c r="L14" s="142"/>
    </row>
    <row r="15" spans="1:81" s="140" customFormat="1" ht="15" customHeight="1">
      <c r="C15" s="141"/>
      <c r="D15" s="106" t="s">
        <v>370</v>
      </c>
      <c r="E15" s="88" t="s">
        <v>498</v>
      </c>
      <c r="F15" s="68">
        <v>10</v>
      </c>
      <c r="G15" s="143">
        <f>SUM(H15:K15)</f>
        <v>6832.6329999999998</v>
      </c>
      <c r="H15" s="143">
        <f>H16+H17+H20+H23</f>
        <v>992.92899999999997</v>
      </c>
      <c r="I15" s="143">
        <f>I16+I17+I20+I23</f>
        <v>4378.9120000000003</v>
      </c>
      <c r="J15" s="143">
        <f>J16+J17+J20+J23</f>
        <v>1460.7919999999999</v>
      </c>
      <c r="K15" s="143">
        <f>K16+K17+K20+K23</f>
        <v>0</v>
      </c>
      <c r="L15" s="142"/>
      <c r="M15" s="52"/>
      <c r="P15" s="115">
        <v>10</v>
      </c>
    </row>
    <row r="16" spans="1:81" s="140" customFormat="1" ht="15" customHeight="1">
      <c r="C16" s="141"/>
      <c r="D16" s="106" t="s">
        <v>371</v>
      </c>
      <c r="E16" s="67" t="s">
        <v>210</v>
      </c>
      <c r="F16" s="68">
        <v>20</v>
      </c>
      <c r="G16" s="143">
        <f t="shared" ref="G16:G138" si="0">SUM(H16:K16)</f>
        <v>0</v>
      </c>
      <c r="H16" s="122"/>
      <c r="I16" s="122"/>
      <c r="J16" s="122"/>
      <c r="K16" s="122"/>
      <c r="L16" s="142"/>
      <c r="M16" s="52"/>
      <c r="P16" s="115">
        <v>20</v>
      </c>
    </row>
    <row r="17" spans="3:16" s="140" customFormat="1" ht="12.75">
      <c r="C17" s="141"/>
      <c r="D17" s="106" t="s">
        <v>372</v>
      </c>
      <c r="E17" s="67" t="s">
        <v>499</v>
      </c>
      <c r="F17" s="68">
        <v>30</v>
      </c>
      <c r="G17" s="143">
        <f t="shared" si="0"/>
        <v>0</v>
      </c>
      <c r="H17" s="143">
        <f>SUM(H18:H19)</f>
        <v>0</v>
      </c>
      <c r="I17" s="143">
        <f>SUM(I18:I19)</f>
        <v>0</v>
      </c>
      <c r="J17" s="143">
        <f>SUM(J18:J19)</f>
        <v>0</v>
      </c>
      <c r="K17" s="143">
        <f>SUM(K18:K19)</f>
        <v>0</v>
      </c>
      <c r="L17" s="142"/>
      <c r="M17" s="52"/>
      <c r="P17" s="115">
        <v>30</v>
      </c>
    </row>
    <row r="18" spans="3:16" s="140" customFormat="1" ht="12.75">
      <c r="C18" s="141"/>
      <c r="D18" s="113" t="s">
        <v>480</v>
      </c>
      <c r="E18" s="144"/>
      <c r="F18" s="84" t="s">
        <v>336</v>
      </c>
      <c r="G18" s="145"/>
      <c r="H18" s="145"/>
      <c r="I18" s="145"/>
      <c r="J18" s="145"/>
      <c r="K18" s="145"/>
      <c r="L18" s="142"/>
      <c r="M18" s="52"/>
      <c r="P18" s="115"/>
    </row>
    <row r="19" spans="3:16" s="140" customFormat="1" ht="12.75">
      <c r="C19" s="141"/>
      <c r="D19" s="108"/>
      <c r="E19" s="104" t="s">
        <v>334</v>
      </c>
      <c r="F19" s="73"/>
      <c r="G19" s="73"/>
      <c r="H19" s="73"/>
      <c r="I19" s="73"/>
      <c r="J19" s="73"/>
      <c r="K19" s="74"/>
      <c r="L19" s="142"/>
      <c r="M19" s="52"/>
      <c r="P19" s="116"/>
    </row>
    <row r="20" spans="3:16" s="140" customFormat="1" ht="12.75">
      <c r="C20" s="141"/>
      <c r="D20" s="106" t="s">
        <v>373</v>
      </c>
      <c r="E20" s="67" t="s">
        <v>500</v>
      </c>
      <c r="F20" s="68" t="s">
        <v>211</v>
      </c>
      <c r="G20" s="143">
        <f t="shared" si="0"/>
        <v>0</v>
      </c>
      <c r="H20" s="143">
        <f>SUM(H21:H22)</f>
        <v>0</v>
      </c>
      <c r="I20" s="143">
        <f>SUM(I21:I22)</f>
        <v>0</v>
      </c>
      <c r="J20" s="143">
        <f>SUM(J21:J22)</f>
        <v>0</v>
      </c>
      <c r="K20" s="143">
        <f>SUM(K21:K22)</f>
        <v>0</v>
      </c>
      <c r="L20" s="142"/>
      <c r="M20" s="52"/>
      <c r="P20" s="116"/>
    </row>
    <row r="21" spans="3:16" s="140" customFormat="1" ht="12.75">
      <c r="C21" s="141"/>
      <c r="D21" s="113" t="s">
        <v>481</v>
      </c>
      <c r="E21" s="144"/>
      <c r="F21" s="84" t="s">
        <v>211</v>
      </c>
      <c r="G21" s="145"/>
      <c r="H21" s="145"/>
      <c r="I21" s="145"/>
      <c r="J21" s="145"/>
      <c r="K21" s="145"/>
      <c r="L21" s="142"/>
      <c r="M21" s="52"/>
      <c r="P21" s="115"/>
    </row>
    <row r="22" spans="3:16" s="140" customFormat="1" ht="12.75">
      <c r="C22" s="141"/>
      <c r="D22" s="108"/>
      <c r="E22" s="104" t="s">
        <v>334</v>
      </c>
      <c r="F22" s="73"/>
      <c r="G22" s="73"/>
      <c r="H22" s="73"/>
      <c r="I22" s="73"/>
      <c r="J22" s="73"/>
      <c r="K22" s="74"/>
      <c r="L22" s="142"/>
      <c r="M22" s="52"/>
      <c r="P22" s="116"/>
    </row>
    <row r="23" spans="3:16" s="140" customFormat="1" ht="12.75">
      <c r="C23" s="141"/>
      <c r="D23" s="106" t="s">
        <v>374</v>
      </c>
      <c r="E23" s="67" t="s">
        <v>501</v>
      </c>
      <c r="F23" s="68" t="s">
        <v>212</v>
      </c>
      <c r="G23" s="143">
        <f t="shared" si="0"/>
        <v>6832.6329999999998</v>
      </c>
      <c r="H23" s="143">
        <f>SUM(H24:H28)</f>
        <v>992.92899999999997</v>
      </c>
      <c r="I23" s="143">
        <f>SUM(I24:I28)</f>
        <v>4378.9120000000003</v>
      </c>
      <c r="J23" s="143">
        <f>SUM(J24:J28)</f>
        <v>1460.7919999999999</v>
      </c>
      <c r="K23" s="143">
        <f>SUM(K24:K28)</f>
        <v>0</v>
      </c>
      <c r="L23" s="142"/>
      <c r="M23" s="52"/>
      <c r="P23" s="115">
        <v>40</v>
      </c>
    </row>
    <row r="24" spans="3:16" s="140" customFormat="1" ht="12.75">
      <c r="C24" s="141"/>
      <c r="D24" s="113" t="s">
        <v>482</v>
      </c>
      <c r="E24" s="144"/>
      <c r="F24" s="84" t="s">
        <v>212</v>
      </c>
      <c r="G24" s="145"/>
      <c r="H24" s="145"/>
      <c r="I24" s="145"/>
      <c r="J24" s="145"/>
      <c r="K24" s="145"/>
      <c r="L24" s="142"/>
      <c r="M24" s="52"/>
      <c r="P24" s="115"/>
    </row>
    <row r="25" spans="3:16" s="140" customFormat="1" ht="14.25">
      <c r="C25" s="121" t="s">
        <v>0</v>
      </c>
      <c r="D25" s="146" t="s">
        <v>1874</v>
      </c>
      <c r="E25" s="82" t="s">
        <v>2047</v>
      </c>
      <c r="F25" s="79">
        <v>431</v>
      </c>
      <c r="G25" s="147">
        <f>SUM(H25:K25)</f>
        <v>5825.1</v>
      </c>
      <c r="H25" s="148">
        <v>992.92899999999997</v>
      </c>
      <c r="I25" s="148">
        <v>4378.9120000000003</v>
      </c>
      <c r="J25" s="148">
        <f>513.619-J27</f>
        <v>453.25900000000001</v>
      </c>
      <c r="K25" s="149"/>
      <c r="L25" s="142"/>
      <c r="M25" s="85" t="s">
        <v>1842</v>
      </c>
      <c r="N25" s="86" t="s">
        <v>1438</v>
      </c>
      <c r="O25" s="86" t="s">
        <v>1841</v>
      </c>
    </row>
    <row r="26" spans="3:16" s="140" customFormat="1" ht="14.25">
      <c r="C26" s="121" t="s">
        <v>0</v>
      </c>
      <c r="D26" s="146" t="s">
        <v>2072</v>
      </c>
      <c r="E26" s="82" t="s">
        <v>1467</v>
      </c>
      <c r="F26" s="79">
        <v>432</v>
      </c>
      <c r="G26" s="147">
        <f>SUM(H26:K26)</f>
        <v>947.173</v>
      </c>
      <c r="H26" s="148"/>
      <c r="I26" s="148"/>
      <c r="J26" s="148">
        <v>947.173</v>
      </c>
      <c r="K26" s="149"/>
      <c r="L26" s="142"/>
      <c r="M26" s="85" t="s">
        <v>1468</v>
      </c>
      <c r="N26" s="86" t="s">
        <v>1438</v>
      </c>
      <c r="O26" s="86" t="s">
        <v>1466</v>
      </c>
    </row>
    <row r="27" spans="3:16" s="140" customFormat="1" ht="14.25">
      <c r="C27" s="121" t="s">
        <v>0</v>
      </c>
      <c r="D27" s="146" t="s">
        <v>2137</v>
      </c>
      <c r="E27" s="82" t="s">
        <v>1713</v>
      </c>
      <c r="F27" s="79">
        <v>433</v>
      </c>
      <c r="G27" s="147">
        <f>SUM(H27:K27)</f>
        <v>60.36</v>
      </c>
      <c r="H27" s="148"/>
      <c r="I27" s="148"/>
      <c r="J27" s="148">
        <v>60.36</v>
      </c>
      <c r="K27" s="149"/>
      <c r="L27" s="142"/>
      <c r="M27" s="85" t="s">
        <v>1714</v>
      </c>
      <c r="N27" s="86" t="s">
        <v>1446</v>
      </c>
      <c r="O27" s="86" t="s">
        <v>1712</v>
      </c>
    </row>
    <row r="28" spans="3:16" s="140" customFormat="1" ht="12.75">
      <c r="C28" s="141"/>
      <c r="D28" s="108"/>
      <c r="E28" s="104" t="s">
        <v>334</v>
      </c>
      <c r="F28" s="73"/>
      <c r="G28" s="73"/>
      <c r="H28" s="73"/>
      <c r="I28" s="73"/>
      <c r="J28" s="73"/>
      <c r="K28" s="74"/>
      <c r="L28" s="142"/>
      <c r="M28" s="52"/>
      <c r="P28" s="115"/>
    </row>
    <row r="29" spans="3:16" s="140" customFormat="1" ht="12.75">
      <c r="C29" s="141"/>
      <c r="D29" s="106" t="s">
        <v>375</v>
      </c>
      <c r="E29" s="88" t="s">
        <v>157</v>
      </c>
      <c r="F29" s="68" t="s">
        <v>213</v>
      </c>
      <c r="G29" s="143">
        <f t="shared" si="0"/>
        <v>2948.9529999999995</v>
      </c>
      <c r="H29" s="143">
        <f>H31+H32+H33</f>
        <v>0</v>
      </c>
      <c r="I29" s="143">
        <f>I30+I32+I33</f>
        <v>0</v>
      </c>
      <c r="J29" s="143">
        <f>J30+J31+J33</f>
        <v>1888.5110000000002</v>
      </c>
      <c r="K29" s="143">
        <f>K30+K31+K32</f>
        <v>1060.4419999999996</v>
      </c>
      <c r="L29" s="142"/>
      <c r="M29" s="52"/>
      <c r="P29" s="115">
        <v>50</v>
      </c>
    </row>
    <row r="30" spans="3:16" s="140" customFormat="1" ht="12.75">
      <c r="C30" s="141"/>
      <c r="D30" s="106" t="s">
        <v>376</v>
      </c>
      <c r="E30" s="67" t="s">
        <v>134</v>
      </c>
      <c r="F30" s="68" t="s">
        <v>214</v>
      </c>
      <c r="G30" s="143">
        <f t="shared" si="0"/>
        <v>991.54700000000003</v>
      </c>
      <c r="H30" s="150"/>
      <c r="I30" s="122"/>
      <c r="J30" s="122">
        <f>H46</f>
        <v>991.54700000000003</v>
      </c>
      <c r="K30" s="122"/>
      <c r="L30" s="142"/>
      <c r="M30" s="52"/>
      <c r="P30" s="115">
        <v>60</v>
      </c>
    </row>
    <row r="31" spans="3:16" s="140" customFormat="1" ht="12.75">
      <c r="C31" s="141"/>
      <c r="D31" s="106" t="s">
        <v>377</v>
      </c>
      <c r="E31" s="67" t="s">
        <v>135</v>
      </c>
      <c r="F31" s="68" t="s">
        <v>215</v>
      </c>
      <c r="G31" s="143">
        <f t="shared" si="0"/>
        <v>896.96400000000017</v>
      </c>
      <c r="H31" s="122"/>
      <c r="I31" s="150"/>
      <c r="J31" s="122">
        <f>I25-I35-I49</f>
        <v>896.96400000000017</v>
      </c>
      <c r="K31" s="122"/>
      <c r="L31" s="142"/>
      <c r="M31" s="52"/>
      <c r="P31" s="115">
        <v>70</v>
      </c>
    </row>
    <row r="32" spans="3:16" s="140" customFormat="1" ht="12.75">
      <c r="C32" s="141"/>
      <c r="D32" s="106" t="s">
        <v>378</v>
      </c>
      <c r="E32" s="67" t="s">
        <v>136</v>
      </c>
      <c r="F32" s="68" t="s">
        <v>216</v>
      </c>
      <c r="G32" s="143">
        <f t="shared" si="0"/>
        <v>1060.4419999999996</v>
      </c>
      <c r="H32" s="122"/>
      <c r="I32" s="122"/>
      <c r="J32" s="150"/>
      <c r="K32" s="122">
        <f>J23+J29+J17-J49-J35</f>
        <v>1060.4419999999996</v>
      </c>
      <c r="L32" s="142"/>
      <c r="M32" s="52"/>
      <c r="P32" s="115">
        <v>80</v>
      </c>
    </row>
    <row r="33" spans="3:16" s="140" customFormat="1" ht="12.75">
      <c r="C33" s="141"/>
      <c r="D33" s="106" t="s">
        <v>379</v>
      </c>
      <c r="E33" s="67" t="s">
        <v>158</v>
      </c>
      <c r="F33" s="68" t="s">
        <v>217</v>
      </c>
      <c r="G33" s="143">
        <f t="shared" si="0"/>
        <v>0</v>
      </c>
      <c r="H33" s="122"/>
      <c r="I33" s="122"/>
      <c r="J33" s="122"/>
      <c r="K33" s="150"/>
      <c r="L33" s="142"/>
      <c r="M33" s="52"/>
      <c r="P33" s="115">
        <v>90</v>
      </c>
    </row>
    <row r="34" spans="3:16" s="140" customFormat="1" ht="12.75">
      <c r="C34" s="141"/>
      <c r="D34" s="106" t="s">
        <v>380</v>
      </c>
      <c r="E34" s="89" t="s">
        <v>161</v>
      </c>
      <c r="F34" s="68" t="s">
        <v>218</v>
      </c>
      <c r="G34" s="143">
        <f t="shared" si="0"/>
        <v>0</v>
      </c>
      <c r="H34" s="122"/>
      <c r="I34" s="122"/>
      <c r="J34" s="122"/>
      <c r="K34" s="122"/>
      <c r="L34" s="142"/>
      <c r="M34" s="52"/>
      <c r="P34" s="115"/>
    </row>
    <row r="35" spans="3:16" s="140" customFormat="1" ht="12.75">
      <c r="C35" s="141"/>
      <c r="D35" s="106" t="s">
        <v>381</v>
      </c>
      <c r="E35" s="88" t="s">
        <v>502</v>
      </c>
      <c r="F35" s="109" t="s">
        <v>219</v>
      </c>
      <c r="G35" s="143">
        <f t="shared" si="0"/>
        <v>6769.8119999999999</v>
      </c>
      <c r="H35" s="143">
        <f>H36+H38+H41+H45</f>
        <v>0</v>
      </c>
      <c r="I35" s="143">
        <f>I36+I38+I41+I45</f>
        <v>3481.9470000000001</v>
      </c>
      <c r="J35" s="143">
        <f>J36+J38+J41+J45</f>
        <v>2235.2550000000001</v>
      </c>
      <c r="K35" s="143">
        <f>K36+K38+K41+K45</f>
        <v>1052.6099999999999</v>
      </c>
      <c r="L35" s="142"/>
      <c r="M35" s="52"/>
      <c r="P35" s="115">
        <v>100</v>
      </c>
    </row>
    <row r="36" spans="3:16" s="140" customFormat="1" ht="22.5">
      <c r="C36" s="141"/>
      <c r="D36" s="106" t="s">
        <v>382</v>
      </c>
      <c r="E36" s="67" t="s">
        <v>503</v>
      </c>
      <c r="F36" s="68" t="s">
        <v>220</v>
      </c>
      <c r="G36" s="143">
        <f t="shared" si="0"/>
        <v>0</v>
      </c>
      <c r="H36" s="122"/>
      <c r="I36" s="122"/>
      <c r="J36" s="122"/>
      <c r="K36" s="122"/>
      <c r="L36" s="142"/>
      <c r="M36" s="52"/>
      <c r="P36" s="115"/>
    </row>
    <row r="37" spans="3:16" s="140" customFormat="1" ht="12.75">
      <c r="C37" s="141"/>
      <c r="D37" s="106" t="s">
        <v>486</v>
      </c>
      <c r="E37" s="69" t="s">
        <v>476</v>
      </c>
      <c r="F37" s="68" t="s">
        <v>223</v>
      </c>
      <c r="G37" s="143">
        <f t="shared" si="0"/>
        <v>0</v>
      </c>
      <c r="H37" s="122"/>
      <c r="I37" s="122"/>
      <c r="J37" s="122"/>
      <c r="K37" s="122"/>
      <c r="L37" s="142"/>
      <c r="M37" s="52"/>
      <c r="P37" s="115"/>
    </row>
    <row r="38" spans="3:16" s="140" customFormat="1" ht="12.75">
      <c r="C38" s="141"/>
      <c r="D38" s="106" t="s">
        <v>383</v>
      </c>
      <c r="E38" s="67" t="s">
        <v>221</v>
      </c>
      <c r="F38" s="68" t="s">
        <v>224</v>
      </c>
      <c r="G38" s="143">
        <f t="shared" si="0"/>
        <v>3991.2420000000002</v>
      </c>
      <c r="H38" s="122">
        <v>0</v>
      </c>
      <c r="I38" s="122">
        <f>3481.947-I43</f>
        <v>703.37699999999995</v>
      </c>
      <c r="J38" s="122">
        <v>2235.2550000000001</v>
      </c>
      <c r="K38" s="122">
        <v>1052.6099999999999</v>
      </c>
      <c r="L38" s="142"/>
      <c r="M38" s="52"/>
      <c r="P38" s="115"/>
    </row>
    <row r="39" spans="3:16" s="140" customFormat="1" ht="12.75">
      <c r="C39" s="141"/>
      <c r="D39" s="106" t="s">
        <v>487</v>
      </c>
      <c r="E39" s="69" t="s">
        <v>504</v>
      </c>
      <c r="F39" s="68" t="s">
        <v>225</v>
      </c>
      <c r="G39" s="143">
        <f t="shared" si="0"/>
        <v>0</v>
      </c>
      <c r="H39" s="122"/>
      <c r="I39" s="122"/>
      <c r="J39" s="122"/>
      <c r="K39" s="122"/>
      <c r="L39" s="142"/>
      <c r="M39" s="52"/>
      <c r="P39" s="115"/>
    </row>
    <row r="40" spans="3:16" s="140" customFormat="1" ht="12.75">
      <c r="C40" s="141"/>
      <c r="D40" s="106" t="s">
        <v>488</v>
      </c>
      <c r="E40" s="71" t="s">
        <v>476</v>
      </c>
      <c r="F40" s="68" t="s">
        <v>226</v>
      </c>
      <c r="G40" s="143">
        <f t="shared" si="0"/>
        <v>0</v>
      </c>
      <c r="H40" s="122"/>
      <c r="I40" s="122"/>
      <c r="J40" s="122"/>
      <c r="K40" s="122"/>
      <c r="L40" s="142"/>
      <c r="M40" s="52"/>
      <c r="P40" s="115"/>
    </row>
    <row r="41" spans="3:16" s="140" customFormat="1" ht="12.75">
      <c r="C41" s="141"/>
      <c r="D41" s="106" t="s">
        <v>384</v>
      </c>
      <c r="E41" s="67" t="s">
        <v>505</v>
      </c>
      <c r="F41" s="68" t="s">
        <v>227</v>
      </c>
      <c r="G41" s="143">
        <f t="shared" si="0"/>
        <v>2778.57</v>
      </c>
      <c r="H41" s="143">
        <f>SUM(H42:H44)</f>
        <v>0</v>
      </c>
      <c r="I41" s="143">
        <f>SUM(I42:I44)</f>
        <v>2778.57</v>
      </c>
      <c r="J41" s="143">
        <f>SUM(J42:J44)</f>
        <v>0</v>
      </c>
      <c r="K41" s="143">
        <f>SUM(K42:K44)</f>
        <v>0</v>
      </c>
      <c r="L41" s="142"/>
      <c r="M41" s="52"/>
      <c r="P41" s="115"/>
    </row>
    <row r="42" spans="3:16" s="140" customFormat="1" ht="12.75">
      <c r="C42" s="141"/>
      <c r="D42" s="113" t="s">
        <v>496</v>
      </c>
      <c r="E42" s="144"/>
      <c r="F42" s="84" t="s">
        <v>227</v>
      </c>
      <c r="G42" s="145"/>
      <c r="H42" s="145"/>
      <c r="I42" s="145"/>
      <c r="J42" s="145"/>
      <c r="K42" s="145"/>
      <c r="L42" s="142"/>
      <c r="M42" s="52"/>
      <c r="P42" s="115"/>
    </row>
    <row r="43" spans="3:16" s="140" customFormat="1" ht="14.25">
      <c r="C43" s="121" t="s">
        <v>0</v>
      </c>
      <c r="D43" s="146" t="s">
        <v>1875</v>
      </c>
      <c r="E43" s="82" t="s">
        <v>1467</v>
      </c>
      <c r="F43" s="79">
        <v>751</v>
      </c>
      <c r="G43" s="147">
        <f>SUM(H43:K43)</f>
        <v>2778.57</v>
      </c>
      <c r="H43" s="148"/>
      <c r="I43" s="148">
        <v>2778.57</v>
      </c>
      <c r="J43" s="148"/>
      <c r="K43" s="149"/>
      <c r="L43" s="142"/>
      <c r="M43" s="85" t="s">
        <v>1468</v>
      </c>
      <c r="N43" s="86" t="s">
        <v>1451</v>
      </c>
      <c r="O43" s="86" t="s">
        <v>1466</v>
      </c>
    </row>
    <row r="44" spans="3:16" s="140" customFormat="1" ht="12.75">
      <c r="C44" s="141"/>
      <c r="D44" s="76"/>
      <c r="E44" s="104" t="s">
        <v>334</v>
      </c>
      <c r="F44" s="73"/>
      <c r="G44" s="73"/>
      <c r="H44" s="73"/>
      <c r="I44" s="73"/>
      <c r="J44" s="73"/>
      <c r="K44" s="74"/>
      <c r="L44" s="142"/>
      <c r="M44" s="52"/>
      <c r="P44" s="115"/>
    </row>
    <row r="45" spans="3:16" s="140" customFormat="1" ht="12.75">
      <c r="C45" s="141"/>
      <c r="D45" s="106" t="s">
        <v>385</v>
      </c>
      <c r="E45" s="105" t="s">
        <v>477</v>
      </c>
      <c r="F45" s="68" t="s">
        <v>228</v>
      </c>
      <c r="G45" s="143">
        <f t="shared" si="0"/>
        <v>0</v>
      </c>
      <c r="H45" s="122"/>
      <c r="I45" s="122"/>
      <c r="J45" s="122"/>
      <c r="K45" s="122"/>
      <c r="L45" s="142"/>
      <c r="M45" s="52"/>
      <c r="P45" s="115">
        <v>120</v>
      </c>
    </row>
    <row r="46" spans="3:16" s="140" customFormat="1" ht="12.75">
      <c r="C46" s="141"/>
      <c r="D46" s="106" t="s">
        <v>386</v>
      </c>
      <c r="E46" s="88" t="s">
        <v>159</v>
      </c>
      <c r="F46" s="68" t="s">
        <v>229</v>
      </c>
      <c r="G46" s="143">
        <f t="shared" si="0"/>
        <v>2948.9529999999995</v>
      </c>
      <c r="H46" s="122">
        <f>H25-H49-H35</f>
        <v>991.54700000000003</v>
      </c>
      <c r="I46" s="122">
        <f>I15-I35-I49</f>
        <v>896.96400000000017</v>
      </c>
      <c r="J46" s="122">
        <f>J23+J29+J17-J35-J49</f>
        <v>1060.4419999999998</v>
      </c>
      <c r="K46" s="122">
        <f>K32-K35-K49</f>
        <v>-3.4727776210274897E-13</v>
      </c>
      <c r="L46" s="142"/>
      <c r="M46" s="52"/>
      <c r="P46" s="115">
        <v>150</v>
      </c>
    </row>
    <row r="47" spans="3:16" s="140" customFormat="1" ht="12.75">
      <c r="C47" s="141"/>
      <c r="D47" s="106" t="s">
        <v>387</v>
      </c>
      <c r="E47" s="88" t="s">
        <v>160</v>
      </c>
      <c r="F47" s="68" t="s">
        <v>230</v>
      </c>
      <c r="G47" s="143">
        <f t="shared" si="0"/>
        <v>0</v>
      </c>
      <c r="H47" s="122"/>
      <c r="I47" s="122"/>
      <c r="J47" s="122"/>
      <c r="K47" s="122"/>
      <c r="L47" s="142"/>
      <c r="M47" s="52"/>
      <c r="P47" s="115">
        <v>160</v>
      </c>
    </row>
    <row r="48" spans="3:16" s="140" customFormat="1" ht="12.75">
      <c r="C48" s="141"/>
      <c r="D48" s="106" t="s">
        <v>388</v>
      </c>
      <c r="E48" s="88" t="s">
        <v>162</v>
      </c>
      <c r="F48" s="68" t="s">
        <v>231</v>
      </c>
      <c r="G48" s="143">
        <f t="shared" si="0"/>
        <v>0</v>
      </c>
      <c r="H48" s="122"/>
      <c r="I48" s="122"/>
      <c r="J48" s="122"/>
      <c r="K48" s="122"/>
      <c r="L48" s="142"/>
      <c r="M48" s="52"/>
      <c r="P48" s="115">
        <v>180</v>
      </c>
    </row>
    <row r="49" spans="3:16" s="140" customFormat="1" ht="12.75">
      <c r="C49" s="141"/>
      <c r="D49" s="106" t="s">
        <v>389</v>
      </c>
      <c r="E49" s="88" t="s">
        <v>473</v>
      </c>
      <c r="F49" s="68" t="s">
        <v>232</v>
      </c>
      <c r="G49" s="143">
        <f t="shared" si="0"/>
        <v>62.821000000000005</v>
      </c>
      <c r="H49" s="122">
        <v>1.3819999999999999</v>
      </c>
      <c r="I49" s="122">
        <v>1E-3</v>
      </c>
      <c r="J49" s="122">
        <v>53.606000000000002</v>
      </c>
      <c r="K49" s="122">
        <v>7.8319999999999999</v>
      </c>
      <c r="L49" s="142"/>
      <c r="M49" s="52"/>
      <c r="P49" s="115">
        <v>190</v>
      </c>
    </row>
    <row r="50" spans="3:16" s="140" customFormat="1" ht="12.75">
      <c r="C50" s="141"/>
      <c r="D50" s="106" t="s">
        <v>390</v>
      </c>
      <c r="E50" s="67" t="s">
        <v>474</v>
      </c>
      <c r="F50" s="68" t="s">
        <v>234</v>
      </c>
      <c r="G50" s="143">
        <f t="shared" si="0"/>
        <v>0</v>
      </c>
      <c r="H50" s="122"/>
      <c r="I50" s="122"/>
      <c r="J50" s="122"/>
      <c r="K50" s="122"/>
      <c r="L50" s="142"/>
      <c r="M50" s="52"/>
      <c r="P50" s="115">
        <v>200</v>
      </c>
    </row>
    <row r="51" spans="3:16" s="140" customFormat="1" ht="22.5">
      <c r="C51" s="141"/>
      <c r="D51" s="106" t="s">
        <v>475</v>
      </c>
      <c r="E51" s="88" t="s">
        <v>417</v>
      </c>
      <c r="F51" s="68" t="s">
        <v>235</v>
      </c>
      <c r="G51" s="143">
        <f t="shared" si="0"/>
        <v>171.922</v>
      </c>
      <c r="H51" s="122"/>
      <c r="I51" s="122">
        <f>171.922*0.25776</f>
        <v>44.314614719999994</v>
      </c>
      <c r="J51" s="122">
        <f>171.922*0.37244</f>
        <v>64.030629680000004</v>
      </c>
      <c r="K51" s="122">
        <f>171.922*0.3698</f>
        <v>63.576755599999998</v>
      </c>
      <c r="L51" s="142"/>
      <c r="M51" s="52"/>
      <c r="P51" s="116"/>
    </row>
    <row r="52" spans="3:16" s="140" customFormat="1" ht="33.75">
      <c r="C52" s="141"/>
      <c r="D52" s="106" t="s">
        <v>391</v>
      </c>
      <c r="E52" s="89" t="s">
        <v>236</v>
      </c>
      <c r="F52" s="68" t="s">
        <v>237</v>
      </c>
      <c r="G52" s="143">
        <f t="shared" si="0"/>
        <v>-109.101</v>
      </c>
      <c r="H52" s="143">
        <f>H49-H51</f>
        <v>1.3819999999999999</v>
      </c>
      <c r="I52" s="143">
        <f>I49-I51</f>
        <v>-44.313614719999997</v>
      </c>
      <c r="J52" s="143">
        <f>J49-J51</f>
        <v>-10.424629680000002</v>
      </c>
      <c r="K52" s="143">
        <f>K49-K51</f>
        <v>-55.744755599999998</v>
      </c>
      <c r="L52" s="142"/>
      <c r="M52" s="52"/>
      <c r="P52" s="116"/>
    </row>
    <row r="53" spans="3:16" s="140" customFormat="1" ht="12.75">
      <c r="C53" s="141"/>
      <c r="D53" s="106" t="s">
        <v>392</v>
      </c>
      <c r="E53" s="88" t="s">
        <v>163</v>
      </c>
      <c r="F53" s="68" t="s">
        <v>238</v>
      </c>
      <c r="G53" s="143">
        <f t="shared" si="0"/>
        <v>0</v>
      </c>
      <c r="H53" s="143">
        <f>(H15+H29+H34)-(H35+H46+H47+H48+H49)</f>
        <v>0</v>
      </c>
      <c r="I53" s="143">
        <f>(I15+I29+I34)-(I35+I46+I47+I48+I49)</f>
        <v>0</v>
      </c>
      <c r="J53" s="143">
        <f>(J15+J29+J34)-(J35+J46+J47+J48+J49)</f>
        <v>0</v>
      </c>
      <c r="K53" s="143">
        <f>(K15+K29+K34)-(K35+K46+K47+K48+K49)</f>
        <v>0</v>
      </c>
      <c r="L53" s="142"/>
      <c r="M53" s="52"/>
      <c r="P53" s="115">
        <v>210</v>
      </c>
    </row>
    <row r="54" spans="3:16" s="140" customFormat="1" ht="12.75">
      <c r="C54" s="141"/>
      <c r="D54" s="174" t="s">
        <v>201</v>
      </c>
      <c r="E54" s="175"/>
      <c r="F54" s="175"/>
      <c r="G54" s="175"/>
      <c r="H54" s="175"/>
      <c r="I54" s="175"/>
      <c r="J54" s="175"/>
      <c r="K54" s="176"/>
      <c r="L54" s="142"/>
      <c r="M54" s="52"/>
      <c r="P54" s="116"/>
    </row>
    <row r="55" spans="3:16" s="140" customFormat="1" ht="12.75">
      <c r="C55" s="141"/>
      <c r="D55" s="106" t="s">
        <v>393</v>
      </c>
      <c r="E55" s="88" t="s">
        <v>498</v>
      </c>
      <c r="F55" s="68" t="s">
        <v>239</v>
      </c>
      <c r="G55" s="143">
        <f t="shared" si="0"/>
        <v>9.1836465053763447</v>
      </c>
      <c r="H55" s="143">
        <f>H56+H57+H60+H63</f>
        <v>1.3345819892473119</v>
      </c>
      <c r="I55" s="143">
        <f>I56+I57+I60+I63</f>
        <v>5.8856344086021508</v>
      </c>
      <c r="J55" s="143">
        <f>J56+J57+J60+J63</f>
        <v>1.9634301075268816</v>
      </c>
      <c r="K55" s="143">
        <f>K56+K57+K60+K63</f>
        <v>0</v>
      </c>
      <c r="L55" s="142"/>
      <c r="M55" s="52"/>
      <c r="P55" s="115">
        <v>300</v>
      </c>
    </row>
    <row r="56" spans="3:16" s="140" customFormat="1" ht="12.75">
      <c r="C56" s="141"/>
      <c r="D56" s="106" t="s">
        <v>394</v>
      </c>
      <c r="E56" s="67" t="s">
        <v>210</v>
      </c>
      <c r="F56" s="68" t="s">
        <v>240</v>
      </c>
      <c r="G56" s="143">
        <f t="shared" si="0"/>
        <v>0</v>
      </c>
      <c r="H56" s="122"/>
      <c r="I56" s="122"/>
      <c r="J56" s="122"/>
      <c r="K56" s="122"/>
      <c r="L56" s="142"/>
      <c r="M56" s="52"/>
      <c r="P56" s="115">
        <v>310</v>
      </c>
    </row>
    <row r="57" spans="3:16" s="140" customFormat="1" ht="12.75">
      <c r="C57" s="141"/>
      <c r="D57" s="106" t="s">
        <v>395</v>
      </c>
      <c r="E57" s="67" t="s">
        <v>499</v>
      </c>
      <c r="F57" s="68" t="s">
        <v>241</v>
      </c>
      <c r="G57" s="143">
        <f t="shared" si="0"/>
        <v>0</v>
      </c>
      <c r="H57" s="143">
        <f>SUM(H58:H59)</f>
        <v>0</v>
      </c>
      <c r="I57" s="143">
        <f>SUM(I58:I59)</f>
        <v>0</v>
      </c>
      <c r="J57" s="143">
        <f>SUM(J58:J59)</f>
        <v>0</v>
      </c>
      <c r="K57" s="143">
        <f>SUM(K58:K59)</f>
        <v>0</v>
      </c>
      <c r="L57" s="142"/>
      <c r="M57" s="52"/>
      <c r="P57" s="115">
        <v>320</v>
      </c>
    </row>
    <row r="58" spans="3:16" s="140" customFormat="1" ht="12.75">
      <c r="C58" s="141"/>
      <c r="D58" s="113" t="s">
        <v>483</v>
      </c>
      <c r="E58" s="144"/>
      <c r="F58" s="84" t="s">
        <v>241</v>
      </c>
      <c r="G58" s="145"/>
      <c r="H58" s="145"/>
      <c r="I58" s="145"/>
      <c r="J58" s="145"/>
      <c r="K58" s="145"/>
      <c r="L58" s="142"/>
      <c r="M58" s="52"/>
      <c r="P58" s="115"/>
    </row>
    <row r="59" spans="3:16" s="140" customFormat="1" ht="12.75">
      <c r="C59" s="141"/>
      <c r="D59" s="108"/>
      <c r="E59" s="104" t="s">
        <v>334</v>
      </c>
      <c r="F59" s="73"/>
      <c r="G59" s="73"/>
      <c r="H59" s="73"/>
      <c r="I59" s="73"/>
      <c r="J59" s="73"/>
      <c r="K59" s="74"/>
      <c r="L59" s="142"/>
      <c r="M59" s="52"/>
      <c r="P59" s="115"/>
    </row>
    <row r="60" spans="3:16" s="140" customFormat="1" ht="12.75">
      <c r="C60" s="141"/>
      <c r="D60" s="106" t="s">
        <v>396</v>
      </c>
      <c r="E60" s="67" t="s">
        <v>500</v>
      </c>
      <c r="F60" s="68" t="s">
        <v>242</v>
      </c>
      <c r="G60" s="143">
        <f t="shared" si="0"/>
        <v>0</v>
      </c>
      <c r="H60" s="143">
        <f>SUM(H61:H62)</f>
        <v>0</v>
      </c>
      <c r="I60" s="143">
        <f>SUM(I61:I62)</f>
        <v>0</v>
      </c>
      <c r="J60" s="143">
        <f>SUM(J61:J62)</f>
        <v>0</v>
      </c>
      <c r="K60" s="143">
        <f>SUM(K61:K62)</f>
        <v>0</v>
      </c>
      <c r="L60" s="142"/>
      <c r="M60" s="52"/>
      <c r="P60" s="115"/>
    </row>
    <row r="61" spans="3:16" s="140" customFormat="1" ht="12.75">
      <c r="C61" s="141"/>
      <c r="D61" s="113" t="s">
        <v>484</v>
      </c>
      <c r="E61" s="144"/>
      <c r="F61" s="84" t="s">
        <v>242</v>
      </c>
      <c r="G61" s="145"/>
      <c r="H61" s="145"/>
      <c r="I61" s="145"/>
      <c r="J61" s="145"/>
      <c r="K61" s="145"/>
      <c r="L61" s="142"/>
      <c r="M61" s="52"/>
      <c r="P61" s="115"/>
    </row>
    <row r="62" spans="3:16" s="140" customFormat="1" ht="12.75">
      <c r="C62" s="141"/>
      <c r="D62" s="108"/>
      <c r="E62" s="104" t="s">
        <v>334</v>
      </c>
      <c r="F62" s="73"/>
      <c r="G62" s="73"/>
      <c r="H62" s="73"/>
      <c r="I62" s="73"/>
      <c r="J62" s="73"/>
      <c r="K62" s="74"/>
      <c r="L62" s="142"/>
      <c r="M62" s="52"/>
      <c r="P62" s="115"/>
    </row>
    <row r="63" spans="3:16" s="140" customFormat="1" ht="12.75">
      <c r="C63" s="141"/>
      <c r="D63" s="106" t="s">
        <v>397</v>
      </c>
      <c r="E63" s="67" t="s">
        <v>501</v>
      </c>
      <c r="F63" s="68" t="s">
        <v>243</v>
      </c>
      <c r="G63" s="143">
        <f t="shared" si="0"/>
        <v>9.1836465053763447</v>
      </c>
      <c r="H63" s="143">
        <f>SUM(H64:H68)</f>
        <v>1.3345819892473119</v>
      </c>
      <c r="I63" s="143">
        <f>SUM(I64:I68)</f>
        <v>5.8856344086021508</v>
      </c>
      <c r="J63" s="143">
        <f>SUM(J64:J68)</f>
        <v>1.9634301075268816</v>
      </c>
      <c r="K63" s="143">
        <f>SUM(K64:K68)</f>
        <v>0</v>
      </c>
      <c r="L63" s="142"/>
      <c r="M63" s="52"/>
      <c r="P63" s="115">
        <v>330</v>
      </c>
    </row>
    <row r="64" spans="3:16" s="140" customFormat="1" ht="12.75">
      <c r="C64" s="141"/>
      <c r="D64" s="113" t="s">
        <v>485</v>
      </c>
      <c r="E64" s="144"/>
      <c r="F64" s="84" t="s">
        <v>243</v>
      </c>
      <c r="G64" s="145"/>
      <c r="H64" s="145"/>
      <c r="I64" s="145"/>
      <c r="J64" s="145"/>
      <c r="K64" s="145"/>
      <c r="L64" s="142"/>
      <c r="M64" s="52"/>
      <c r="P64" s="115"/>
    </row>
    <row r="65" spans="3:16" s="140" customFormat="1" ht="14.25">
      <c r="C65" s="121" t="s">
        <v>0</v>
      </c>
      <c r="D65" s="146" t="s">
        <v>1876</v>
      </c>
      <c r="E65" s="82" t="s">
        <v>2047</v>
      </c>
      <c r="F65" s="79">
        <v>1461</v>
      </c>
      <c r="G65" s="147">
        <f>SUM(H65:K65)</f>
        <v>7.8294354838709683</v>
      </c>
      <c r="H65" s="148">
        <f>H25/744</f>
        <v>1.3345819892473119</v>
      </c>
      <c r="I65" s="148">
        <f t="shared" ref="I65:J67" si="1">I25/744</f>
        <v>5.8856344086021508</v>
      </c>
      <c r="J65" s="148">
        <f t="shared" si="1"/>
        <v>0.60921908602150543</v>
      </c>
      <c r="K65" s="148"/>
      <c r="L65" s="142"/>
      <c r="M65" s="85" t="s">
        <v>1842</v>
      </c>
      <c r="N65" s="86" t="s">
        <v>1438</v>
      </c>
      <c r="O65" s="86" t="s">
        <v>1841</v>
      </c>
    </row>
    <row r="66" spans="3:16" s="140" customFormat="1" ht="14.25">
      <c r="C66" s="121" t="s">
        <v>0</v>
      </c>
      <c r="D66" s="146" t="s">
        <v>2073</v>
      </c>
      <c r="E66" s="82" t="s">
        <v>1467</v>
      </c>
      <c r="F66" s="79">
        <v>1462</v>
      </c>
      <c r="G66" s="147">
        <f>SUM(H66:K66)</f>
        <v>1.2730819892473118</v>
      </c>
      <c r="H66" s="148"/>
      <c r="I66" s="148"/>
      <c r="J66" s="148">
        <f t="shared" si="1"/>
        <v>1.2730819892473118</v>
      </c>
      <c r="K66" s="149"/>
      <c r="L66" s="142"/>
      <c r="M66" s="85" t="s">
        <v>1468</v>
      </c>
      <c r="N66" s="86" t="s">
        <v>1438</v>
      </c>
      <c r="O66" s="86" t="s">
        <v>1466</v>
      </c>
    </row>
    <row r="67" spans="3:16" s="140" customFormat="1" ht="14.25">
      <c r="C67" s="121" t="s">
        <v>0</v>
      </c>
      <c r="D67" s="146" t="s">
        <v>2138</v>
      </c>
      <c r="E67" s="82" t="s">
        <v>1713</v>
      </c>
      <c r="F67" s="79">
        <v>1463</v>
      </c>
      <c r="G67" s="147">
        <f>SUM(H67:K67)</f>
        <v>8.1129032258064518E-2</v>
      </c>
      <c r="H67" s="148"/>
      <c r="I67" s="148"/>
      <c r="J67" s="148">
        <f t="shared" si="1"/>
        <v>8.1129032258064518E-2</v>
      </c>
      <c r="K67" s="149"/>
      <c r="L67" s="142"/>
      <c r="M67" s="85" t="s">
        <v>1714</v>
      </c>
      <c r="N67" s="86" t="s">
        <v>1446</v>
      </c>
      <c r="O67" s="86" t="s">
        <v>1712</v>
      </c>
    </row>
    <row r="68" spans="3:16" s="140" customFormat="1" ht="12.75">
      <c r="C68" s="141"/>
      <c r="D68" s="108"/>
      <c r="E68" s="104" t="s">
        <v>334</v>
      </c>
      <c r="F68" s="73"/>
      <c r="G68" s="73"/>
      <c r="H68" s="73"/>
      <c r="I68" s="73"/>
      <c r="J68" s="73"/>
      <c r="K68" s="74"/>
      <c r="L68" s="142"/>
      <c r="M68" s="52"/>
      <c r="P68" s="115"/>
    </row>
    <row r="69" spans="3:16" s="140" customFormat="1" ht="12.75">
      <c r="C69" s="141"/>
      <c r="D69" s="106" t="s">
        <v>398</v>
      </c>
      <c r="E69" s="88" t="s">
        <v>157</v>
      </c>
      <c r="F69" s="68" t="s">
        <v>244</v>
      </c>
      <c r="G69" s="143">
        <f t="shared" si="0"/>
        <v>3.9636465053763441</v>
      </c>
      <c r="H69" s="143">
        <f>H71+H72+H73</f>
        <v>0</v>
      </c>
      <c r="I69" s="143">
        <f>I70+I72+I73</f>
        <v>0</v>
      </c>
      <c r="J69" s="143">
        <f>J70+J71+J73</f>
        <v>2.5383212365591401</v>
      </c>
      <c r="K69" s="143">
        <f>K70+K71+K72</f>
        <v>1.4253252688172038</v>
      </c>
      <c r="L69" s="142"/>
      <c r="M69" s="52"/>
      <c r="P69" s="115">
        <v>340</v>
      </c>
    </row>
    <row r="70" spans="3:16" s="140" customFormat="1" ht="12.75">
      <c r="C70" s="141"/>
      <c r="D70" s="106" t="s">
        <v>399</v>
      </c>
      <c r="E70" s="67" t="s">
        <v>134</v>
      </c>
      <c r="F70" s="68" t="s">
        <v>245</v>
      </c>
      <c r="G70" s="143">
        <f t="shared" si="0"/>
        <v>1.3327244623655914</v>
      </c>
      <c r="H70" s="150"/>
      <c r="I70" s="122"/>
      <c r="J70" s="122">
        <f>J30/744</f>
        <v>1.3327244623655914</v>
      </c>
      <c r="K70" s="122"/>
      <c r="L70" s="142"/>
      <c r="M70" s="52"/>
      <c r="P70" s="115">
        <v>350</v>
      </c>
    </row>
    <row r="71" spans="3:16" s="140" customFormat="1" ht="12.75">
      <c r="C71" s="141"/>
      <c r="D71" s="106" t="s">
        <v>400</v>
      </c>
      <c r="E71" s="67" t="s">
        <v>135</v>
      </c>
      <c r="F71" s="68" t="s">
        <v>246</v>
      </c>
      <c r="G71" s="143">
        <f t="shared" si="0"/>
        <v>1.2055967741935487</v>
      </c>
      <c r="H71" s="122"/>
      <c r="I71" s="151"/>
      <c r="J71" s="122">
        <f>J31/744</f>
        <v>1.2055967741935487</v>
      </c>
      <c r="K71" s="122"/>
      <c r="L71" s="142"/>
      <c r="M71" s="52"/>
      <c r="P71" s="115">
        <v>360</v>
      </c>
    </row>
    <row r="72" spans="3:16" s="140" customFormat="1" ht="12.75">
      <c r="C72" s="141"/>
      <c r="D72" s="106" t="s">
        <v>401</v>
      </c>
      <c r="E72" s="67" t="s">
        <v>136</v>
      </c>
      <c r="F72" s="68" t="s">
        <v>247</v>
      </c>
      <c r="G72" s="143">
        <f t="shared" si="0"/>
        <v>1.4253252688172038</v>
      </c>
      <c r="H72" s="122"/>
      <c r="I72" s="122"/>
      <c r="J72" s="150"/>
      <c r="K72" s="122">
        <f>K32/744</f>
        <v>1.4253252688172038</v>
      </c>
      <c r="L72" s="142"/>
      <c r="M72" s="52"/>
      <c r="P72" s="115">
        <v>370</v>
      </c>
    </row>
    <row r="73" spans="3:16" s="140" customFormat="1" ht="12.75">
      <c r="C73" s="141"/>
      <c r="D73" s="106" t="s">
        <v>402</v>
      </c>
      <c r="E73" s="67" t="s">
        <v>158</v>
      </c>
      <c r="F73" s="68" t="s">
        <v>248</v>
      </c>
      <c r="G73" s="143">
        <f t="shared" si="0"/>
        <v>0</v>
      </c>
      <c r="H73" s="122"/>
      <c r="I73" s="122"/>
      <c r="J73" s="122"/>
      <c r="K73" s="150"/>
      <c r="L73" s="142"/>
      <c r="M73" s="52"/>
      <c r="P73" s="115">
        <v>380</v>
      </c>
    </row>
    <row r="74" spans="3:16" s="140" customFormat="1" ht="12.75">
      <c r="C74" s="141"/>
      <c r="D74" s="106" t="s">
        <v>403</v>
      </c>
      <c r="E74" s="89" t="s">
        <v>161</v>
      </c>
      <c r="F74" s="68" t="s">
        <v>249</v>
      </c>
      <c r="G74" s="143">
        <f t="shared" si="0"/>
        <v>0</v>
      </c>
      <c r="H74" s="122"/>
      <c r="I74" s="122"/>
      <c r="J74" s="122"/>
      <c r="K74" s="122"/>
      <c r="L74" s="142"/>
      <c r="M74" s="52"/>
      <c r="P74" s="115"/>
    </row>
    <row r="75" spans="3:16" s="140" customFormat="1" ht="12.75">
      <c r="C75" s="141"/>
      <c r="D75" s="106" t="s">
        <v>404</v>
      </c>
      <c r="E75" s="88" t="s">
        <v>502</v>
      </c>
      <c r="F75" s="109" t="s">
        <v>250</v>
      </c>
      <c r="G75" s="143">
        <f t="shared" si="0"/>
        <v>9.0992096774193545</v>
      </c>
      <c r="H75" s="143">
        <f>H76+H78+H81+H85</f>
        <v>0</v>
      </c>
      <c r="I75" s="143">
        <f>I76+I78+I81+I85</f>
        <v>4.6800362903225805</v>
      </c>
      <c r="J75" s="143">
        <f>J76+J78+J81+J85</f>
        <v>3.004375</v>
      </c>
      <c r="K75" s="143">
        <f>K76+K78+K81+K85</f>
        <v>1.414798387096774</v>
      </c>
      <c r="L75" s="142"/>
      <c r="M75" s="52"/>
      <c r="P75" s="115">
        <v>390</v>
      </c>
    </row>
    <row r="76" spans="3:16" s="140" customFormat="1" ht="22.5">
      <c r="C76" s="141"/>
      <c r="D76" s="106" t="s">
        <v>405</v>
      </c>
      <c r="E76" s="67" t="s">
        <v>503</v>
      </c>
      <c r="F76" s="68" t="s">
        <v>251</v>
      </c>
      <c r="G76" s="143">
        <f t="shared" si="0"/>
        <v>0</v>
      </c>
      <c r="H76" s="122"/>
      <c r="I76" s="122"/>
      <c r="J76" s="122"/>
      <c r="K76" s="122"/>
      <c r="L76" s="142"/>
      <c r="M76" s="52"/>
      <c r="P76" s="115"/>
    </row>
    <row r="77" spans="3:16" s="140" customFormat="1" ht="12.75">
      <c r="C77" s="141"/>
      <c r="D77" s="106" t="s">
        <v>489</v>
      </c>
      <c r="E77" s="69" t="s">
        <v>476</v>
      </c>
      <c r="F77" s="68" t="s">
        <v>252</v>
      </c>
      <c r="G77" s="143">
        <f t="shared" si="0"/>
        <v>0</v>
      </c>
      <c r="H77" s="122"/>
      <c r="I77" s="122"/>
      <c r="J77" s="122"/>
      <c r="K77" s="122"/>
      <c r="L77" s="142"/>
      <c r="M77" s="52"/>
      <c r="P77" s="115"/>
    </row>
    <row r="78" spans="3:16" s="140" customFormat="1" ht="12.75">
      <c r="C78" s="141"/>
      <c r="D78" s="106" t="s">
        <v>406</v>
      </c>
      <c r="E78" s="67" t="s">
        <v>221</v>
      </c>
      <c r="F78" s="68" t="s">
        <v>253</v>
      </c>
      <c r="G78" s="143">
        <f t="shared" si="0"/>
        <v>5.3645725806451612</v>
      </c>
      <c r="H78" s="122">
        <f>H38/744</f>
        <v>0</v>
      </c>
      <c r="I78" s="122">
        <f>I38/744</f>
        <v>0.94539919354838708</v>
      </c>
      <c r="J78" s="122">
        <f>J38/744</f>
        <v>3.004375</v>
      </c>
      <c r="K78" s="122">
        <f>K38/744</f>
        <v>1.414798387096774</v>
      </c>
      <c r="L78" s="142"/>
      <c r="M78" s="52"/>
      <c r="P78" s="115"/>
    </row>
    <row r="79" spans="3:16" s="140" customFormat="1" ht="12.75">
      <c r="C79" s="141"/>
      <c r="D79" s="106" t="s">
        <v>490</v>
      </c>
      <c r="E79" s="69" t="s">
        <v>504</v>
      </c>
      <c r="F79" s="68" t="s">
        <v>254</v>
      </c>
      <c r="G79" s="143">
        <f t="shared" si="0"/>
        <v>0</v>
      </c>
      <c r="H79" s="122"/>
      <c r="I79" s="122"/>
      <c r="J79" s="122"/>
      <c r="K79" s="122"/>
      <c r="L79" s="142"/>
      <c r="M79" s="52"/>
      <c r="P79" s="115"/>
    </row>
    <row r="80" spans="3:16" s="140" customFormat="1" ht="12.75">
      <c r="C80" s="141"/>
      <c r="D80" s="106" t="s">
        <v>491</v>
      </c>
      <c r="E80" s="71" t="s">
        <v>476</v>
      </c>
      <c r="F80" s="68" t="s">
        <v>255</v>
      </c>
      <c r="G80" s="143">
        <f t="shared" si="0"/>
        <v>0</v>
      </c>
      <c r="H80" s="122"/>
      <c r="I80" s="122"/>
      <c r="J80" s="122"/>
      <c r="K80" s="122"/>
      <c r="L80" s="142"/>
      <c r="M80" s="52"/>
      <c r="P80" s="115"/>
    </row>
    <row r="81" spans="3:16" s="140" customFormat="1" ht="12.75">
      <c r="C81" s="141"/>
      <c r="D81" s="106" t="s">
        <v>407</v>
      </c>
      <c r="E81" s="67" t="s">
        <v>505</v>
      </c>
      <c r="F81" s="68" t="s">
        <v>256</v>
      </c>
      <c r="G81" s="143">
        <f t="shared" si="0"/>
        <v>3.7346370967741938</v>
      </c>
      <c r="H81" s="143">
        <f>SUM(H82:H84)</f>
        <v>0</v>
      </c>
      <c r="I81" s="143">
        <f>SUM(I82:I84)</f>
        <v>3.7346370967741938</v>
      </c>
      <c r="J81" s="143">
        <f>SUM(J82:J84)</f>
        <v>0</v>
      </c>
      <c r="K81" s="143">
        <f>SUM(K82:K84)</f>
        <v>0</v>
      </c>
      <c r="L81" s="142"/>
      <c r="M81" s="52"/>
      <c r="P81" s="115"/>
    </row>
    <row r="82" spans="3:16" s="140" customFormat="1" ht="12.75">
      <c r="C82" s="141"/>
      <c r="D82" s="113" t="s">
        <v>497</v>
      </c>
      <c r="E82" s="144"/>
      <c r="F82" s="84" t="s">
        <v>256</v>
      </c>
      <c r="G82" s="145"/>
      <c r="H82" s="145"/>
      <c r="I82" s="145"/>
      <c r="J82" s="145"/>
      <c r="K82" s="145"/>
      <c r="L82" s="142"/>
      <c r="M82" s="52"/>
      <c r="P82" s="115"/>
    </row>
    <row r="83" spans="3:16" s="140" customFormat="1" ht="14.25">
      <c r="C83" s="121" t="s">
        <v>0</v>
      </c>
      <c r="D83" s="146" t="s">
        <v>1877</v>
      </c>
      <c r="E83" s="82" t="s">
        <v>1467</v>
      </c>
      <c r="F83" s="79">
        <v>1781</v>
      </c>
      <c r="G83" s="147">
        <f>SUM(H83:K83)</f>
        <v>3.7346370967741938</v>
      </c>
      <c r="H83" s="148"/>
      <c r="I83" s="148">
        <f>I43/744</f>
        <v>3.7346370967741938</v>
      </c>
      <c r="J83" s="148"/>
      <c r="K83" s="149"/>
      <c r="L83" s="142"/>
      <c r="M83" s="85" t="s">
        <v>1468</v>
      </c>
      <c r="N83" s="86" t="s">
        <v>1451</v>
      </c>
      <c r="O83" s="86" t="s">
        <v>1466</v>
      </c>
    </row>
    <row r="84" spans="3:16" s="140" customFormat="1" ht="12.75">
      <c r="C84" s="141"/>
      <c r="D84" s="108"/>
      <c r="E84" s="104" t="s">
        <v>334</v>
      </c>
      <c r="F84" s="73"/>
      <c r="G84" s="73"/>
      <c r="H84" s="73"/>
      <c r="I84" s="73"/>
      <c r="J84" s="73"/>
      <c r="K84" s="74"/>
      <c r="L84" s="142"/>
      <c r="M84" s="52"/>
      <c r="P84" s="115"/>
    </row>
    <row r="85" spans="3:16" s="140" customFormat="1" ht="12.75">
      <c r="C85" s="141"/>
      <c r="D85" s="106" t="s">
        <v>408</v>
      </c>
      <c r="E85" s="105" t="s">
        <v>477</v>
      </c>
      <c r="F85" s="68" t="s">
        <v>257</v>
      </c>
      <c r="G85" s="143">
        <f t="shared" si="0"/>
        <v>0</v>
      </c>
      <c r="H85" s="122"/>
      <c r="I85" s="122"/>
      <c r="J85" s="122"/>
      <c r="K85" s="122"/>
      <c r="L85" s="142"/>
      <c r="M85" s="52"/>
      <c r="P85" s="115">
        <v>410</v>
      </c>
    </row>
    <row r="86" spans="3:16" s="140" customFormat="1" ht="12.75">
      <c r="C86" s="141"/>
      <c r="D86" s="106" t="s">
        <v>409</v>
      </c>
      <c r="E86" s="88" t="s">
        <v>159</v>
      </c>
      <c r="F86" s="68" t="s">
        <v>258</v>
      </c>
      <c r="G86" s="143">
        <f t="shared" si="0"/>
        <v>3.9636465053763437</v>
      </c>
      <c r="H86" s="122">
        <f>H46/744</f>
        <v>1.3327244623655914</v>
      </c>
      <c r="I86" s="122">
        <f>I46/744</f>
        <v>1.2055967741935487</v>
      </c>
      <c r="J86" s="122">
        <f>J46/744</f>
        <v>1.425325268817204</v>
      </c>
      <c r="K86" s="122">
        <f>K46/744</f>
        <v>-4.667711856219744E-16</v>
      </c>
      <c r="L86" s="142"/>
      <c r="M86" s="52"/>
      <c r="P86" s="115">
        <v>440</v>
      </c>
    </row>
    <row r="87" spans="3:16" s="140" customFormat="1" ht="12.75">
      <c r="C87" s="141"/>
      <c r="D87" s="106" t="s">
        <v>410</v>
      </c>
      <c r="E87" s="88" t="s">
        <v>160</v>
      </c>
      <c r="F87" s="68" t="s">
        <v>259</v>
      </c>
      <c r="G87" s="143">
        <f t="shared" si="0"/>
        <v>0</v>
      </c>
      <c r="H87" s="122"/>
      <c r="I87" s="122"/>
      <c r="J87" s="122"/>
      <c r="K87" s="122"/>
      <c r="L87" s="142"/>
      <c r="M87" s="52"/>
      <c r="P87" s="115">
        <v>450</v>
      </c>
    </row>
    <row r="88" spans="3:16" s="140" customFormat="1" ht="12.75">
      <c r="C88" s="141"/>
      <c r="D88" s="106" t="s">
        <v>411</v>
      </c>
      <c r="E88" s="88" t="s">
        <v>162</v>
      </c>
      <c r="F88" s="68" t="s">
        <v>260</v>
      </c>
      <c r="G88" s="143">
        <f t="shared" si="0"/>
        <v>0</v>
      </c>
      <c r="H88" s="122"/>
      <c r="I88" s="122"/>
      <c r="J88" s="122"/>
      <c r="K88" s="122"/>
      <c r="L88" s="142"/>
      <c r="M88" s="52"/>
      <c r="P88" s="115">
        <v>470</v>
      </c>
    </row>
    <row r="89" spans="3:16" s="140" customFormat="1" ht="12.75">
      <c r="C89" s="141"/>
      <c r="D89" s="106" t="s">
        <v>412</v>
      </c>
      <c r="E89" s="88" t="s">
        <v>473</v>
      </c>
      <c r="F89" s="68" t="s">
        <v>261</v>
      </c>
      <c r="G89" s="143">
        <f t="shared" si="0"/>
        <v>8.4436827956989258E-2</v>
      </c>
      <c r="H89" s="122">
        <f>H49/744</f>
        <v>1.8575268817204299E-3</v>
      </c>
      <c r="I89" s="122">
        <f>I49/744</f>
        <v>1.3440860215053765E-6</v>
      </c>
      <c r="J89" s="122">
        <f>J49/744</f>
        <v>7.2051075268817211E-2</v>
      </c>
      <c r="K89" s="122">
        <f>K49/744</f>
        <v>1.0526881720430108E-2</v>
      </c>
      <c r="L89" s="142"/>
      <c r="M89" s="52"/>
      <c r="P89" s="115">
        <v>480</v>
      </c>
    </row>
    <row r="90" spans="3:16" s="140" customFormat="1" ht="12.75">
      <c r="C90" s="141"/>
      <c r="D90" s="106" t="s">
        <v>413</v>
      </c>
      <c r="E90" s="67" t="s">
        <v>233</v>
      </c>
      <c r="F90" s="68" t="s">
        <v>262</v>
      </c>
      <c r="G90" s="143">
        <f t="shared" si="0"/>
        <v>0</v>
      </c>
      <c r="H90" s="122"/>
      <c r="I90" s="122"/>
      <c r="J90" s="122"/>
      <c r="K90" s="122"/>
      <c r="L90" s="142"/>
      <c r="M90" s="52"/>
      <c r="P90" s="115">
        <v>490</v>
      </c>
    </row>
    <row r="91" spans="3:16" s="140" customFormat="1" ht="22.5">
      <c r="C91" s="141"/>
      <c r="D91" s="106" t="s">
        <v>414</v>
      </c>
      <c r="E91" s="88" t="s">
        <v>417</v>
      </c>
      <c r="F91" s="68" t="s">
        <v>263</v>
      </c>
      <c r="G91" s="143">
        <f t="shared" si="0"/>
        <v>0.2310779569892473</v>
      </c>
      <c r="H91" s="122"/>
      <c r="I91" s="122">
        <f>I51/744</f>
        <v>5.9562654193548378E-2</v>
      </c>
      <c r="J91" s="122">
        <f>J51/744</f>
        <v>8.6062674301075268E-2</v>
      </c>
      <c r="K91" s="122">
        <f>K51/744</f>
        <v>8.545262849462365E-2</v>
      </c>
      <c r="L91" s="142"/>
      <c r="M91" s="52"/>
      <c r="P91" s="115"/>
    </row>
    <row r="92" spans="3:16" s="140" customFormat="1" ht="33.75">
      <c r="C92" s="141"/>
      <c r="D92" s="106" t="s">
        <v>415</v>
      </c>
      <c r="E92" s="89" t="s">
        <v>236</v>
      </c>
      <c r="F92" s="68" t="s">
        <v>264</v>
      </c>
      <c r="G92" s="143">
        <f t="shared" si="0"/>
        <v>-0.14664112903225807</v>
      </c>
      <c r="H92" s="143">
        <f>H89-H91</f>
        <v>1.8575268817204299E-3</v>
      </c>
      <c r="I92" s="143">
        <f>I89-I91</f>
        <v>-5.9561310107526876E-2</v>
      </c>
      <c r="J92" s="143">
        <f>J89-J91</f>
        <v>-1.4011599032258057E-2</v>
      </c>
      <c r="K92" s="143">
        <f>K89-K91</f>
        <v>-7.4925746774193544E-2</v>
      </c>
      <c r="L92" s="142"/>
      <c r="M92" s="52"/>
      <c r="P92" s="115"/>
    </row>
    <row r="93" spans="3:16" s="140" customFormat="1" ht="12.75">
      <c r="C93" s="141"/>
      <c r="D93" s="106" t="s">
        <v>416</v>
      </c>
      <c r="E93" s="88" t="s">
        <v>163</v>
      </c>
      <c r="F93" s="68" t="s">
        <v>265</v>
      </c>
      <c r="G93" s="143">
        <f t="shared" si="0"/>
        <v>0</v>
      </c>
      <c r="H93" s="143">
        <f>(H55+H69+H74)-(H75+H86+H87+H88+H89)</f>
        <v>0</v>
      </c>
      <c r="I93" s="143">
        <f>(I55+I69+I74)-(I75+I86+I87+I88+I89)</f>
        <v>0</v>
      </c>
      <c r="J93" s="143">
        <f>(J55+J69+J74)-(J75+J86+J87+J88+J89)</f>
        <v>0</v>
      </c>
      <c r="K93" s="143">
        <f>(K55+K69+K74)-(K75+K86+K87+K88+K89)</f>
        <v>0</v>
      </c>
      <c r="L93" s="142"/>
      <c r="M93" s="52"/>
      <c r="P93" s="115">
        <v>500</v>
      </c>
    </row>
    <row r="94" spans="3:16" s="140" customFormat="1" ht="12.75">
      <c r="C94" s="141"/>
      <c r="D94" s="174" t="s">
        <v>202</v>
      </c>
      <c r="E94" s="175"/>
      <c r="F94" s="175"/>
      <c r="G94" s="175"/>
      <c r="H94" s="175"/>
      <c r="I94" s="175"/>
      <c r="J94" s="175"/>
      <c r="K94" s="176"/>
      <c r="L94" s="142"/>
      <c r="M94" s="52"/>
      <c r="P94" s="116"/>
    </row>
    <row r="95" spans="3:16" s="140" customFormat="1" ht="12.75">
      <c r="C95" s="141"/>
      <c r="D95" s="106" t="s">
        <v>418</v>
      </c>
      <c r="E95" s="88" t="s">
        <v>164</v>
      </c>
      <c r="F95" s="68" t="s">
        <v>266</v>
      </c>
      <c r="G95" s="143">
        <f t="shared" si="0"/>
        <v>0</v>
      </c>
      <c r="H95" s="122"/>
      <c r="I95" s="122"/>
      <c r="J95" s="122"/>
      <c r="K95" s="122"/>
      <c r="L95" s="142"/>
      <c r="M95" s="52"/>
      <c r="P95" s="115">
        <v>600</v>
      </c>
    </row>
    <row r="96" spans="3:16" s="140" customFormat="1" ht="12.75">
      <c r="C96" s="141"/>
      <c r="D96" s="106" t="s">
        <v>419</v>
      </c>
      <c r="E96" s="88" t="s">
        <v>165</v>
      </c>
      <c r="F96" s="68" t="s">
        <v>267</v>
      </c>
      <c r="G96" s="143">
        <f t="shared" si="0"/>
        <v>56.423000000000002</v>
      </c>
      <c r="H96" s="122"/>
      <c r="I96" s="122">
        <v>56.423000000000002</v>
      </c>
      <c r="J96" s="122"/>
      <c r="K96" s="122"/>
      <c r="L96" s="142"/>
      <c r="M96" s="52"/>
      <c r="P96" s="115">
        <v>610</v>
      </c>
    </row>
    <row r="97" spans="3:16" s="140" customFormat="1" ht="12.75">
      <c r="C97" s="141"/>
      <c r="D97" s="106" t="s">
        <v>420</v>
      </c>
      <c r="E97" s="88" t="s">
        <v>166</v>
      </c>
      <c r="F97" s="68" t="s">
        <v>268</v>
      </c>
      <c r="G97" s="143">
        <f t="shared" si="0"/>
        <v>0</v>
      </c>
      <c r="H97" s="122"/>
      <c r="I97" s="122"/>
      <c r="J97" s="122"/>
      <c r="K97" s="122"/>
      <c r="L97" s="142"/>
      <c r="M97" s="52"/>
      <c r="P97" s="115">
        <v>620</v>
      </c>
    </row>
    <row r="98" spans="3:16" s="140" customFormat="1" ht="12.75">
      <c r="C98" s="141"/>
      <c r="D98" s="174" t="s">
        <v>209</v>
      </c>
      <c r="E98" s="175"/>
      <c r="F98" s="175"/>
      <c r="G98" s="175"/>
      <c r="H98" s="175"/>
      <c r="I98" s="175"/>
      <c r="J98" s="175"/>
      <c r="K98" s="176"/>
      <c r="L98" s="142"/>
      <c r="M98" s="52"/>
      <c r="P98" s="116"/>
    </row>
    <row r="99" spans="3:16" s="140" customFormat="1" ht="12.75">
      <c r="C99" s="141"/>
      <c r="D99" s="106" t="s">
        <v>421</v>
      </c>
      <c r="E99" s="88" t="s">
        <v>506</v>
      </c>
      <c r="F99" s="68" t="s">
        <v>269</v>
      </c>
      <c r="G99" s="143">
        <f t="shared" si="0"/>
        <v>0</v>
      </c>
      <c r="H99" s="143">
        <f>SUM(H100:H101)</f>
        <v>0</v>
      </c>
      <c r="I99" s="143">
        <f>SUM(I100:I101)</f>
        <v>0</v>
      </c>
      <c r="J99" s="143">
        <f>SUM(J100:J101)</f>
        <v>0</v>
      </c>
      <c r="K99" s="143">
        <f>SUM(K100:K101)</f>
        <v>0</v>
      </c>
      <c r="L99" s="142"/>
      <c r="M99" s="52"/>
      <c r="P99" s="115">
        <v>700</v>
      </c>
    </row>
    <row r="100" spans="3:16" ht="12.75">
      <c r="C100" s="130"/>
      <c r="D100" s="107" t="s">
        <v>422</v>
      </c>
      <c r="E100" s="67" t="s">
        <v>167</v>
      </c>
      <c r="F100" s="68" t="s">
        <v>270</v>
      </c>
      <c r="G100" s="143">
        <f t="shared" si="0"/>
        <v>0</v>
      </c>
      <c r="H100" s="152"/>
      <c r="I100" s="152"/>
      <c r="J100" s="152"/>
      <c r="K100" s="152"/>
      <c r="L100" s="137"/>
      <c r="M100" s="52"/>
      <c r="P100" s="115">
        <v>710</v>
      </c>
    </row>
    <row r="101" spans="3:16" ht="12.75">
      <c r="C101" s="130"/>
      <c r="D101" s="107" t="s">
        <v>423</v>
      </c>
      <c r="E101" s="67" t="s">
        <v>507</v>
      </c>
      <c r="F101" s="68" t="s">
        <v>271</v>
      </c>
      <c r="G101" s="143">
        <f t="shared" si="0"/>
        <v>0</v>
      </c>
      <c r="H101" s="153">
        <f>H104</f>
        <v>0</v>
      </c>
      <c r="I101" s="153">
        <f>I104</f>
        <v>0</v>
      </c>
      <c r="J101" s="153">
        <f>J104</f>
        <v>0</v>
      </c>
      <c r="K101" s="153">
        <f>K104</f>
        <v>0</v>
      </c>
      <c r="L101" s="137"/>
      <c r="M101" s="52"/>
      <c r="P101" s="115">
        <v>720</v>
      </c>
    </row>
    <row r="102" spans="3:16" ht="12.75">
      <c r="C102" s="130"/>
      <c r="D102" s="107" t="s">
        <v>424</v>
      </c>
      <c r="E102" s="69" t="s">
        <v>508</v>
      </c>
      <c r="F102" s="68" t="s">
        <v>273</v>
      </c>
      <c r="G102" s="143">
        <f t="shared" si="0"/>
        <v>0</v>
      </c>
      <c r="H102" s="152"/>
      <c r="I102" s="152"/>
      <c r="J102" s="152"/>
      <c r="K102" s="152"/>
      <c r="L102" s="137"/>
      <c r="M102" s="52"/>
      <c r="P102" s="115">
        <v>730</v>
      </c>
    </row>
    <row r="103" spans="3:16" ht="12.75">
      <c r="C103" s="130"/>
      <c r="D103" s="107" t="s">
        <v>425</v>
      </c>
      <c r="E103" s="71" t="s">
        <v>509</v>
      </c>
      <c r="F103" s="68" t="s">
        <v>274</v>
      </c>
      <c r="G103" s="143">
        <f t="shared" si="0"/>
        <v>0</v>
      </c>
      <c r="H103" s="152"/>
      <c r="I103" s="152"/>
      <c r="J103" s="152"/>
      <c r="K103" s="152"/>
      <c r="L103" s="137"/>
      <c r="M103" s="52"/>
      <c r="P103" s="115"/>
    </row>
    <row r="104" spans="3:16" ht="12.75">
      <c r="C104" s="130"/>
      <c r="D104" s="107" t="s">
        <v>426</v>
      </c>
      <c r="E104" s="69" t="s">
        <v>478</v>
      </c>
      <c r="F104" s="68" t="s">
        <v>275</v>
      </c>
      <c r="G104" s="143">
        <f t="shared" si="0"/>
        <v>0</v>
      </c>
      <c r="H104" s="152"/>
      <c r="I104" s="152"/>
      <c r="J104" s="152"/>
      <c r="K104" s="152"/>
      <c r="L104" s="137"/>
      <c r="M104" s="52"/>
      <c r="P104" s="115">
        <v>740</v>
      </c>
    </row>
    <row r="105" spans="3:16" ht="12.75">
      <c r="C105" s="130"/>
      <c r="D105" s="107" t="s">
        <v>427</v>
      </c>
      <c r="E105" s="88" t="s">
        <v>510</v>
      </c>
      <c r="F105" s="68" t="s">
        <v>277</v>
      </c>
      <c r="G105" s="143">
        <f t="shared" si="0"/>
        <v>0</v>
      </c>
      <c r="H105" s="153">
        <f>H106+H122</f>
        <v>0</v>
      </c>
      <c r="I105" s="153">
        <f>I106+I122</f>
        <v>0</v>
      </c>
      <c r="J105" s="153">
        <f>J106+J122</f>
        <v>0</v>
      </c>
      <c r="K105" s="153">
        <f>K106+K122</f>
        <v>0</v>
      </c>
      <c r="L105" s="137"/>
      <c r="M105" s="52"/>
      <c r="P105" s="115">
        <v>750</v>
      </c>
    </row>
    <row r="106" spans="3:16" ht="12.75">
      <c r="C106" s="130"/>
      <c r="D106" s="107" t="s">
        <v>428</v>
      </c>
      <c r="E106" s="67" t="s">
        <v>279</v>
      </c>
      <c r="F106" s="68" t="s">
        <v>278</v>
      </c>
      <c r="G106" s="143">
        <f t="shared" si="0"/>
        <v>0</v>
      </c>
      <c r="H106" s="153">
        <f>H107+H108</f>
        <v>0</v>
      </c>
      <c r="I106" s="153">
        <f>I107+I108</f>
        <v>0</v>
      </c>
      <c r="J106" s="153">
        <f>J107+J108</f>
        <v>0</v>
      </c>
      <c r="K106" s="153">
        <f>K107+K108</f>
        <v>0</v>
      </c>
      <c r="L106" s="137"/>
      <c r="M106" s="52"/>
      <c r="P106" s="115">
        <v>760</v>
      </c>
    </row>
    <row r="107" spans="3:16" ht="12.75">
      <c r="C107" s="130"/>
      <c r="D107" s="107" t="s">
        <v>429</v>
      </c>
      <c r="E107" s="69" t="s">
        <v>222</v>
      </c>
      <c r="F107" s="68" t="s">
        <v>280</v>
      </c>
      <c r="G107" s="143">
        <f t="shared" si="0"/>
        <v>0</v>
      </c>
      <c r="H107" s="152"/>
      <c r="I107" s="152"/>
      <c r="J107" s="152"/>
      <c r="K107" s="152"/>
      <c r="L107" s="137"/>
      <c r="M107" s="52"/>
      <c r="P107" s="115"/>
    </row>
    <row r="108" spans="3:16" ht="12.75">
      <c r="C108" s="130"/>
      <c r="D108" s="107" t="s">
        <v>430</v>
      </c>
      <c r="E108" s="69" t="s">
        <v>511</v>
      </c>
      <c r="F108" s="68" t="s">
        <v>281</v>
      </c>
      <c r="G108" s="143">
        <f t="shared" si="0"/>
        <v>0</v>
      </c>
      <c r="H108" s="153">
        <f>H109+H112+H115+H118+H119+H120+H121</f>
        <v>0</v>
      </c>
      <c r="I108" s="153">
        <f>I109+I112+I115+I118+I119+I120+I121</f>
        <v>0</v>
      </c>
      <c r="J108" s="153">
        <f>J109+J112+J115+J118+J119+J120+J121</f>
        <v>0</v>
      </c>
      <c r="K108" s="153">
        <f>K109+K112+K115+K118+K119+K120+K121</f>
        <v>0</v>
      </c>
      <c r="L108" s="137"/>
      <c r="M108" s="52"/>
      <c r="P108" s="115"/>
    </row>
    <row r="109" spans="3:16" ht="45">
      <c r="C109" s="130"/>
      <c r="D109" s="107" t="s">
        <v>431</v>
      </c>
      <c r="E109" s="71" t="s">
        <v>512</v>
      </c>
      <c r="F109" s="68" t="s">
        <v>282</v>
      </c>
      <c r="G109" s="143">
        <f t="shared" si="0"/>
        <v>0</v>
      </c>
      <c r="H109" s="154">
        <f>H110+H111</f>
        <v>0</v>
      </c>
      <c r="I109" s="154">
        <f>I110+I111</f>
        <v>0</v>
      </c>
      <c r="J109" s="154">
        <f>J110+J111</f>
        <v>0</v>
      </c>
      <c r="K109" s="154">
        <f>K110+K111</f>
        <v>0</v>
      </c>
      <c r="L109" s="137"/>
      <c r="M109" s="52"/>
      <c r="P109" s="115"/>
    </row>
    <row r="110" spans="3:16" ht="12.75">
      <c r="C110" s="130"/>
      <c r="D110" s="107" t="s">
        <v>433</v>
      </c>
      <c r="E110" s="72" t="s">
        <v>283</v>
      </c>
      <c r="F110" s="68" t="s">
        <v>284</v>
      </c>
      <c r="G110" s="143">
        <f t="shared" si="0"/>
        <v>0</v>
      </c>
      <c r="H110" s="152"/>
      <c r="I110" s="152"/>
      <c r="J110" s="152"/>
      <c r="K110" s="152"/>
      <c r="L110" s="137"/>
      <c r="M110" s="52"/>
      <c r="P110" s="115"/>
    </row>
    <row r="111" spans="3:16" ht="12.75">
      <c r="C111" s="130"/>
      <c r="D111" s="107" t="s">
        <v>434</v>
      </c>
      <c r="E111" s="72" t="s">
        <v>285</v>
      </c>
      <c r="F111" s="68" t="s">
        <v>286</v>
      </c>
      <c r="G111" s="143">
        <f t="shared" si="0"/>
        <v>0</v>
      </c>
      <c r="H111" s="152"/>
      <c r="I111" s="152"/>
      <c r="J111" s="152"/>
      <c r="K111" s="152"/>
      <c r="L111" s="137"/>
      <c r="M111" s="52"/>
      <c r="P111" s="115"/>
    </row>
    <row r="112" spans="3:16" ht="45">
      <c r="C112" s="130"/>
      <c r="D112" s="107" t="s">
        <v>432</v>
      </c>
      <c r="E112" s="71" t="s">
        <v>513</v>
      </c>
      <c r="F112" s="68" t="s">
        <v>287</v>
      </c>
      <c r="G112" s="143">
        <f t="shared" si="0"/>
        <v>0</v>
      </c>
      <c r="H112" s="154">
        <f>H113+H114</f>
        <v>0</v>
      </c>
      <c r="I112" s="154">
        <f>I113+I114</f>
        <v>0</v>
      </c>
      <c r="J112" s="154">
        <f>J113+J114</f>
        <v>0</v>
      </c>
      <c r="K112" s="154">
        <f>K113+K114</f>
        <v>0</v>
      </c>
      <c r="L112" s="137"/>
      <c r="M112" s="52"/>
      <c r="P112" s="115"/>
    </row>
    <row r="113" spans="3:16" ht="12.75">
      <c r="C113" s="130"/>
      <c r="D113" s="107" t="s">
        <v>435</v>
      </c>
      <c r="E113" s="72" t="s">
        <v>283</v>
      </c>
      <c r="F113" s="68" t="s">
        <v>288</v>
      </c>
      <c r="G113" s="143">
        <f t="shared" si="0"/>
        <v>0</v>
      </c>
      <c r="H113" s="152"/>
      <c r="I113" s="152"/>
      <c r="J113" s="152"/>
      <c r="K113" s="152"/>
      <c r="L113" s="137"/>
      <c r="M113" s="52"/>
      <c r="P113" s="115"/>
    </row>
    <row r="114" spans="3:16" ht="12.75">
      <c r="C114" s="130"/>
      <c r="D114" s="107" t="s">
        <v>436</v>
      </c>
      <c r="E114" s="72" t="s">
        <v>285</v>
      </c>
      <c r="F114" s="68" t="s">
        <v>289</v>
      </c>
      <c r="G114" s="143">
        <f t="shared" si="0"/>
        <v>0</v>
      </c>
      <c r="H114" s="152"/>
      <c r="I114" s="152"/>
      <c r="J114" s="152"/>
      <c r="K114" s="152"/>
      <c r="L114" s="137"/>
      <c r="M114" s="52"/>
      <c r="P114" s="115"/>
    </row>
    <row r="115" spans="3:16" ht="22.5">
      <c r="C115" s="130"/>
      <c r="D115" s="107" t="s">
        <v>437</v>
      </c>
      <c r="E115" s="71" t="s">
        <v>514</v>
      </c>
      <c r="F115" s="68" t="s">
        <v>290</v>
      </c>
      <c r="G115" s="143">
        <f t="shared" si="0"/>
        <v>0</v>
      </c>
      <c r="H115" s="154">
        <f>H116+H117</f>
        <v>0</v>
      </c>
      <c r="I115" s="154">
        <f>I116+I117</f>
        <v>0</v>
      </c>
      <c r="J115" s="154">
        <f>J116+J117</f>
        <v>0</v>
      </c>
      <c r="K115" s="154">
        <f>K116+K117</f>
        <v>0</v>
      </c>
      <c r="L115" s="137"/>
      <c r="M115" s="52"/>
      <c r="P115" s="115"/>
    </row>
    <row r="116" spans="3:16" ht="12.75">
      <c r="C116" s="130"/>
      <c r="D116" s="107" t="s">
        <v>438</v>
      </c>
      <c r="E116" s="72" t="s">
        <v>283</v>
      </c>
      <c r="F116" s="68" t="s">
        <v>291</v>
      </c>
      <c r="G116" s="143">
        <f t="shared" si="0"/>
        <v>0</v>
      </c>
      <c r="H116" s="152"/>
      <c r="I116" s="152"/>
      <c r="J116" s="152"/>
      <c r="K116" s="152"/>
      <c r="L116" s="137"/>
      <c r="M116" s="52"/>
      <c r="P116" s="115"/>
    </row>
    <row r="117" spans="3:16" ht="12.75">
      <c r="C117" s="130"/>
      <c r="D117" s="107" t="s">
        <v>439</v>
      </c>
      <c r="E117" s="72" t="s">
        <v>285</v>
      </c>
      <c r="F117" s="68" t="s">
        <v>292</v>
      </c>
      <c r="G117" s="143">
        <f t="shared" si="0"/>
        <v>0</v>
      </c>
      <c r="H117" s="152"/>
      <c r="I117" s="152"/>
      <c r="J117" s="152"/>
      <c r="K117" s="152"/>
      <c r="L117" s="137"/>
      <c r="M117" s="52"/>
      <c r="P117" s="115"/>
    </row>
    <row r="118" spans="3:16" ht="22.5">
      <c r="C118" s="130"/>
      <c r="D118" s="107" t="s">
        <v>440</v>
      </c>
      <c r="E118" s="71" t="s">
        <v>293</v>
      </c>
      <c r="F118" s="68" t="s">
        <v>294</v>
      </c>
      <c r="G118" s="143">
        <f t="shared" si="0"/>
        <v>0</v>
      </c>
      <c r="H118" s="152"/>
      <c r="I118" s="152"/>
      <c r="J118" s="152"/>
      <c r="K118" s="152"/>
      <c r="L118" s="137"/>
      <c r="M118" s="52"/>
      <c r="P118" s="115"/>
    </row>
    <row r="119" spans="3:16" ht="12.75">
      <c r="C119" s="130"/>
      <c r="D119" s="107" t="s">
        <v>441</v>
      </c>
      <c r="E119" s="71" t="s">
        <v>295</v>
      </c>
      <c r="F119" s="68" t="s">
        <v>296</v>
      </c>
      <c r="G119" s="143">
        <f t="shared" si="0"/>
        <v>0</v>
      </c>
      <c r="H119" s="152"/>
      <c r="I119" s="152"/>
      <c r="J119" s="152"/>
      <c r="K119" s="152"/>
      <c r="L119" s="137"/>
      <c r="M119" s="52"/>
      <c r="P119" s="115"/>
    </row>
    <row r="120" spans="3:16" ht="45">
      <c r="C120" s="130"/>
      <c r="D120" s="107" t="s">
        <v>442</v>
      </c>
      <c r="E120" s="71" t="s">
        <v>479</v>
      </c>
      <c r="F120" s="68" t="s">
        <v>297</v>
      </c>
      <c r="G120" s="143">
        <f t="shared" si="0"/>
        <v>0</v>
      </c>
      <c r="H120" s="152"/>
      <c r="I120" s="152"/>
      <c r="J120" s="152"/>
      <c r="K120" s="152"/>
      <c r="L120" s="137"/>
      <c r="M120" s="52"/>
      <c r="P120" s="115"/>
    </row>
    <row r="121" spans="3:16" ht="22.5">
      <c r="C121" s="130"/>
      <c r="D121" s="107" t="s">
        <v>443</v>
      </c>
      <c r="E121" s="71" t="s">
        <v>298</v>
      </c>
      <c r="F121" s="68" t="s">
        <v>299</v>
      </c>
      <c r="G121" s="143">
        <f t="shared" si="0"/>
        <v>0</v>
      </c>
      <c r="H121" s="152"/>
      <c r="I121" s="152"/>
      <c r="J121" s="152"/>
      <c r="K121" s="152"/>
      <c r="L121" s="137"/>
      <c r="M121" s="52"/>
      <c r="P121" s="115"/>
    </row>
    <row r="122" spans="3:16" ht="12.75">
      <c r="C122" s="130"/>
      <c r="D122" s="107" t="s">
        <v>444</v>
      </c>
      <c r="E122" s="67" t="s">
        <v>515</v>
      </c>
      <c r="F122" s="68" t="s">
        <v>300</v>
      </c>
      <c r="G122" s="143">
        <f t="shared" si="0"/>
        <v>0</v>
      </c>
      <c r="H122" s="153">
        <f>H125</f>
        <v>0</v>
      </c>
      <c r="I122" s="153">
        <f>I125</f>
        <v>0</v>
      </c>
      <c r="J122" s="153">
        <f>J125</f>
        <v>0</v>
      </c>
      <c r="K122" s="153">
        <f>K125</f>
        <v>0</v>
      </c>
      <c r="L122" s="137"/>
      <c r="M122" s="52"/>
      <c r="P122" s="115">
        <v>770</v>
      </c>
    </row>
    <row r="123" spans="3:16" ht="12.75">
      <c r="C123" s="130"/>
      <c r="D123" s="107" t="s">
        <v>445</v>
      </c>
      <c r="E123" s="69" t="s">
        <v>508</v>
      </c>
      <c r="F123" s="68" t="s">
        <v>301</v>
      </c>
      <c r="G123" s="143">
        <f t="shared" si="0"/>
        <v>0</v>
      </c>
      <c r="H123" s="152"/>
      <c r="I123" s="152"/>
      <c r="J123" s="152"/>
      <c r="K123" s="152"/>
      <c r="L123" s="137"/>
      <c r="M123" s="52"/>
      <c r="P123" s="115">
        <v>780</v>
      </c>
    </row>
    <row r="124" spans="3:16" ht="12.75">
      <c r="C124" s="130"/>
      <c r="D124" s="107" t="s">
        <v>446</v>
      </c>
      <c r="E124" s="71" t="s">
        <v>516</v>
      </c>
      <c r="F124" s="68" t="s">
        <v>302</v>
      </c>
      <c r="G124" s="143">
        <f t="shared" si="0"/>
        <v>0</v>
      </c>
      <c r="H124" s="152"/>
      <c r="I124" s="152"/>
      <c r="J124" s="152"/>
      <c r="K124" s="152"/>
      <c r="L124" s="137"/>
      <c r="M124" s="52"/>
      <c r="P124" s="115"/>
    </row>
    <row r="125" spans="3:16" ht="12.75">
      <c r="C125" s="130"/>
      <c r="D125" s="107" t="s">
        <v>447</v>
      </c>
      <c r="E125" s="69" t="s">
        <v>478</v>
      </c>
      <c r="F125" s="68" t="s">
        <v>303</v>
      </c>
      <c r="G125" s="143">
        <f t="shared" si="0"/>
        <v>0</v>
      </c>
      <c r="H125" s="152"/>
      <c r="I125" s="152"/>
      <c r="J125" s="152"/>
      <c r="K125" s="152"/>
      <c r="L125" s="137"/>
      <c r="M125" s="52"/>
      <c r="P125" s="115">
        <v>790</v>
      </c>
    </row>
    <row r="126" spans="3:16" ht="22.5">
      <c r="C126" s="130"/>
      <c r="D126" s="107" t="s">
        <v>448</v>
      </c>
      <c r="E126" s="89" t="s">
        <v>517</v>
      </c>
      <c r="F126" s="68" t="s">
        <v>304</v>
      </c>
      <c r="G126" s="143">
        <f t="shared" si="0"/>
        <v>6832.6330000000007</v>
      </c>
      <c r="H126" s="153">
        <f>SUM(H127:H128)</f>
        <v>1.3819999999999999</v>
      </c>
      <c r="I126" s="153">
        <f>SUM(I127:I128)</f>
        <v>3534.2510000000002</v>
      </c>
      <c r="J126" s="153">
        <f>SUM(J127:J128)</f>
        <v>2244.3900000000003</v>
      </c>
      <c r="K126" s="153">
        <f>SUM(K127:K128)</f>
        <v>1052.6099999999999</v>
      </c>
      <c r="L126" s="137"/>
      <c r="M126" s="52"/>
      <c r="P126" s="115"/>
    </row>
    <row r="127" spans="3:16" ht="12.75">
      <c r="C127" s="130"/>
      <c r="D127" s="107" t="s">
        <v>449</v>
      </c>
      <c r="E127" s="67" t="s">
        <v>167</v>
      </c>
      <c r="F127" s="68" t="s">
        <v>305</v>
      </c>
      <c r="G127" s="143">
        <f t="shared" si="0"/>
        <v>0</v>
      </c>
      <c r="H127" s="152"/>
      <c r="I127" s="152"/>
      <c r="J127" s="152"/>
      <c r="K127" s="152"/>
      <c r="L127" s="137"/>
      <c r="M127" s="52"/>
      <c r="P127" s="115"/>
    </row>
    <row r="128" spans="3:16" ht="12.75">
      <c r="C128" s="130"/>
      <c r="D128" s="107" t="s">
        <v>450</v>
      </c>
      <c r="E128" s="67" t="s">
        <v>507</v>
      </c>
      <c r="F128" s="68" t="s">
        <v>306</v>
      </c>
      <c r="G128" s="143">
        <f t="shared" si="0"/>
        <v>6832.6330000000007</v>
      </c>
      <c r="H128" s="153">
        <f>H130</f>
        <v>1.3819999999999999</v>
      </c>
      <c r="I128" s="153">
        <f>I130</f>
        <v>3534.2510000000002</v>
      </c>
      <c r="J128" s="153">
        <f>J130</f>
        <v>2244.3900000000003</v>
      </c>
      <c r="K128" s="153">
        <f>K130</f>
        <v>1052.6099999999999</v>
      </c>
      <c r="L128" s="137"/>
      <c r="M128" s="52"/>
      <c r="P128" s="115"/>
    </row>
    <row r="129" spans="3:16" ht="12.75">
      <c r="C129" s="130"/>
      <c r="D129" s="107" t="s">
        <v>451</v>
      </c>
      <c r="E129" s="69" t="s">
        <v>272</v>
      </c>
      <c r="F129" s="68" t="s">
        <v>307</v>
      </c>
      <c r="G129" s="143">
        <f t="shared" si="0"/>
        <v>56.423000000000002</v>
      </c>
      <c r="H129" s="152"/>
      <c r="I129" s="152">
        <f>I96</f>
        <v>56.423000000000002</v>
      </c>
      <c r="J129" s="152"/>
      <c r="K129" s="152"/>
      <c r="L129" s="137"/>
      <c r="M129" s="52"/>
      <c r="P129" s="115"/>
    </row>
    <row r="130" spans="3:16" ht="12.75">
      <c r="C130" s="130"/>
      <c r="D130" s="107" t="s">
        <v>452</v>
      </c>
      <c r="E130" s="69" t="s">
        <v>478</v>
      </c>
      <c r="F130" s="68" t="s">
        <v>308</v>
      </c>
      <c r="G130" s="143">
        <f t="shared" si="0"/>
        <v>6832.6330000000007</v>
      </c>
      <c r="H130" s="152">
        <f>H49+H35</f>
        <v>1.3819999999999999</v>
      </c>
      <c r="I130" s="152">
        <f>I35+52.304</f>
        <v>3534.2510000000002</v>
      </c>
      <c r="J130" s="152">
        <f>J35+3.471+5.664</f>
        <v>2244.3900000000003</v>
      </c>
      <c r="K130" s="152">
        <f>K35</f>
        <v>1052.6099999999999</v>
      </c>
      <c r="L130" s="137"/>
      <c r="M130" s="52"/>
      <c r="P130" s="115"/>
    </row>
    <row r="131" spans="3:16" ht="12.75">
      <c r="C131" s="130"/>
      <c r="D131" s="174" t="s">
        <v>203</v>
      </c>
      <c r="E131" s="175"/>
      <c r="F131" s="175"/>
      <c r="G131" s="175"/>
      <c r="H131" s="175"/>
      <c r="I131" s="175"/>
      <c r="J131" s="175"/>
      <c r="K131" s="176"/>
      <c r="L131" s="137"/>
      <c r="M131" s="52"/>
      <c r="P131" s="117"/>
    </row>
    <row r="132" spans="3:16" ht="22.5">
      <c r="C132" s="130"/>
      <c r="D132" s="107" t="s">
        <v>453</v>
      </c>
      <c r="E132" s="88" t="s">
        <v>518</v>
      </c>
      <c r="F132" s="68" t="s">
        <v>309</v>
      </c>
      <c r="G132" s="143">
        <f t="shared" si="0"/>
        <v>0</v>
      </c>
      <c r="H132" s="153">
        <f>SUM( H133:H134)</f>
        <v>0</v>
      </c>
      <c r="I132" s="153">
        <f>SUM( I133:I134)</f>
        <v>0</v>
      </c>
      <c r="J132" s="153">
        <f>SUM( J133:J134)</f>
        <v>0</v>
      </c>
      <c r="K132" s="153">
        <f>SUM( K133:K134)</f>
        <v>0</v>
      </c>
      <c r="L132" s="137"/>
      <c r="M132" s="52"/>
      <c r="P132" s="115">
        <v>800</v>
      </c>
    </row>
    <row r="133" spans="3:16" ht="12.75">
      <c r="C133" s="130"/>
      <c r="D133" s="107" t="s">
        <v>454</v>
      </c>
      <c r="E133" s="67" t="s">
        <v>167</v>
      </c>
      <c r="F133" s="68" t="s">
        <v>310</v>
      </c>
      <c r="G133" s="143">
        <f t="shared" si="0"/>
        <v>0</v>
      </c>
      <c r="H133" s="152"/>
      <c r="I133" s="152"/>
      <c r="J133" s="152"/>
      <c r="K133" s="152"/>
      <c r="L133" s="137"/>
      <c r="M133" s="52"/>
      <c r="P133" s="115">
        <v>810</v>
      </c>
    </row>
    <row r="134" spans="3:16" ht="12.75">
      <c r="C134" s="130"/>
      <c r="D134" s="107" t="s">
        <v>455</v>
      </c>
      <c r="E134" s="67" t="s">
        <v>507</v>
      </c>
      <c r="F134" s="68" t="s">
        <v>311</v>
      </c>
      <c r="G134" s="143">
        <f t="shared" si="0"/>
        <v>0</v>
      </c>
      <c r="H134" s="153">
        <f>H135+H137</f>
        <v>0</v>
      </c>
      <c r="I134" s="153">
        <f>I135+I137</f>
        <v>0</v>
      </c>
      <c r="J134" s="153">
        <f>J135+J137</f>
        <v>0</v>
      </c>
      <c r="K134" s="153">
        <f>K135+K137</f>
        <v>0</v>
      </c>
      <c r="L134" s="137"/>
      <c r="M134" s="52"/>
      <c r="P134" s="115">
        <v>820</v>
      </c>
    </row>
    <row r="135" spans="3:16" ht="12.75">
      <c r="C135" s="130"/>
      <c r="D135" s="107" t="s">
        <v>456</v>
      </c>
      <c r="E135" s="69" t="s">
        <v>519</v>
      </c>
      <c r="F135" s="68" t="s">
        <v>312</v>
      </c>
      <c r="G135" s="143">
        <f t="shared" si="0"/>
        <v>0</v>
      </c>
      <c r="H135" s="152"/>
      <c r="I135" s="152"/>
      <c r="J135" s="152"/>
      <c r="K135" s="152"/>
      <c r="L135" s="137"/>
      <c r="M135" s="52"/>
      <c r="P135" s="115">
        <v>830</v>
      </c>
    </row>
    <row r="136" spans="3:16" ht="12.75">
      <c r="C136" s="130"/>
      <c r="D136" s="107" t="s">
        <v>457</v>
      </c>
      <c r="E136" s="71" t="s">
        <v>520</v>
      </c>
      <c r="F136" s="68" t="s">
        <v>313</v>
      </c>
      <c r="G136" s="143">
        <f t="shared" si="0"/>
        <v>0</v>
      </c>
      <c r="H136" s="152"/>
      <c r="I136" s="152"/>
      <c r="J136" s="152"/>
      <c r="K136" s="152"/>
      <c r="L136" s="137"/>
      <c r="M136" s="52"/>
      <c r="P136" s="117"/>
    </row>
    <row r="137" spans="3:16" ht="12.75">
      <c r="C137" s="130"/>
      <c r="D137" s="107" t="s">
        <v>458</v>
      </c>
      <c r="E137" s="69" t="s">
        <v>169</v>
      </c>
      <c r="F137" s="68" t="s">
        <v>314</v>
      </c>
      <c r="G137" s="143">
        <f t="shared" si="0"/>
        <v>0</v>
      </c>
      <c r="H137" s="152"/>
      <c r="I137" s="152"/>
      <c r="J137" s="152"/>
      <c r="K137" s="152"/>
      <c r="L137" s="137"/>
      <c r="M137" s="52"/>
      <c r="P137" s="115">
        <v>840</v>
      </c>
    </row>
    <row r="138" spans="3:16" ht="12.75">
      <c r="C138" s="130"/>
      <c r="D138" s="107" t="s">
        <v>336</v>
      </c>
      <c r="E138" s="88" t="s">
        <v>521</v>
      </c>
      <c r="F138" s="68" t="s">
        <v>315</v>
      </c>
      <c r="G138" s="143">
        <f t="shared" si="0"/>
        <v>0</v>
      </c>
      <c r="H138" s="154">
        <f>SUM( H139+H144)</f>
        <v>0</v>
      </c>
      <c r="I138" s="154">
        <f>SUM( I139+I144)</f>
        <v>0</v>
      </c>
      <c r="J138" s="154">
        <f>SUM( J139+J144)</f>
        <v>0</v>
      </c>
      <c r="K138" s="154">
        <f>SUM( K139+K144)</f>
        <v>0</v>
      </c>
      <c r="L138" s="155"/>
      <c r="M138" s="52"/>
      <c r="P138" s="115">
        <v>850</v>
      </c>
    </row>
    <row r="139" spans="3:16" ht="12.75">
      <c r="C139" s="130"/>
      <c r="D139" s="107" t="s">
        <v>459</v>
      </c>
      <c r="E139" s="67" t="s">
        <v>167</v>
      </c>
      <c r="F139" s="68" t="s">
        <v>316</v>
      </c>
      <c r="G139" s="143">
        <f t="shared" ref="G139:G152" si="2">SUM(H139:K139)</f>
        <v>0</v>
      </c>
      <c r="H139" s="154">
        <f>SUM( H140:H141)</f>
        <v>0</v>
      </c>
      <c r="I139" s="154">
        <f>SUM( I140:I141)</f>
        <v>0</v>
      </c>
      <c r="J139" s="154">
        <f>SUM( J140:J141)</f>
        <v>0</v>
      </c>
      <c r="K139" s="154">
        <f>SUM( K140:K141)</f>
        <v>0</v>
      </c>
      <c r="L139" s="155"/>
      <c r="M139" s="52"/>
      <c r="P139" s="115">
        <v>860</v>
      </c>
    </row>
    <row r="140" spans="3:16" ht="12.75">
      <c r="C140" s="130"/>
      <c r="D140" s="107" t="s">
        <v>460</v>
      </c>
      <c r="E140" s="69" t="s">
        <v>222</v>
      </c>
      <c r="F140" s="68" t="s">
        <v>317</v>
      </c>
      <c r="G140" s="143">
        <f t="shared" si="2"/>
        <v>0</v>
      </c>
      <c r="H140" s="156"/>
      <c r="I140" s="156"/>
      <c r="J140" s="156"/>
      <c r="K140" s="156"/>
      <c r="L140" s="155"/>
      <c r="M140" s="52"/>
      <c r="P140" s="115"/>
    </row>
    <row r="141" spans="3:16" ht="12.75">
      <c r="C141" s="130"/>
      <c r="D141" s="107" t="s">
        <v>461</v>
      </c>
      <c r="E141" s="69" t="s">
        <v>511</v>
      </c>
      <c r="F141" s="68" t="s">
        <v>318</v>
      </c>
      <c r="G141" s="143">
        <f t="shared" si="2"/>
        <v>0</v>
      </c>
      <c r="H141" s="154">
        <f>H142+H143</f>
        <v>0</v>
      </c>
      <c r="I141" s="154">
        <f>I142+I143</f>
        <v>0</v>
      </c>
      <c r="J141" s="154">
        <f>J142+J143</f>
        <v>0</v>
      </c>
      <c r="K141" s="154">
        <f>K142+K143</f>
        <v>0</v>
      </c>
      <c r="L141" s="155"/>
      <c r="M141" s="52"/>
      <c r="P141" s="115"/>
    </row>
    <row r="142" spans="3:16" ht="12.75">
      <c r="C142" s="130"/>
      <c r="D142" s="107" t="s">
        <v>462</v>
      </c>
      <c r="E142" s="71" t="s">
        <v>283</v>
      </c>
      <c r="F142" s="68" t="s">
        <v>319</v>
      </c>
      <c r="G142" s="143">
        <f t="shared" si="2"/>
        <v>0</v>
      </c>
      <c r="H142" s="156"/>
      <c r="I142" s="156"/>
      <c r="J142" s="156"/>
      <c r="K142" s="156"/>
      <c r="L142" s="155"/>
      <c r="M142" s="52"/>
      <c r="P142" s="115"/>
    </row>
    <row r="143" spans="3:16" ht="12.75">
      <c r="C143" s="130"/>
      <c r="D143" s="107" t="s">
        <v>463</v>
      </c>
      <c r="E143" s="71" t="s">
        <v>320</v>
      </c>
      <c r="F143" s="68" t="s">
        <v>321</v>
      </c>
      <c r="G143" s="143">
        <f t="shared" si="2"/>
        <v>0</v>
      </c>
      <c r="H143" s="156"/>
      <c r="I143" s="156"/>
      <c r="J143" s="156"/>
      <c r="K143" s="156"/>
      <c r="L143" s="155"/>
      <c r="M143" s="52"/>
      <c r="P143" s="115"/>
    </row>
    <row r="144" spans="3:16" ht="12.75">
      <c r="C144" s="130"/>
      <c r="D144" s="107" t="s">
        <v>464</v>
      </c>
      <c r="E144" s="67" t="s">
        <v>515</v>
      </c>
      <c r="F144" s="68" t="s">
        <v>322</v>
      </c>
      <c r="G144" s="143">
        <f t="shared" si="2"/>
        <v>0</v>
      </c>
      <c r="H144" s="154">
        <f>H145+H147</f>
        <v>0</v>
      </c>
      <c r="I144" s="154">
        <f>I145+I147</f>
        <v>0</v>
      </c>
      <c r="J144" s="154">
        <f>J145+J147</f>
        <v>0</v>
      </c>
      <c r="K144" s="154">
        <f>K145+K147</f>
        <v>0</v>
      </c>
      <c r="L144" s="155"/>
      <c r="M144" s="52"/>
      <c r="P144" s="115">
        <v>870</v>
      </c>
    </row>
    <row r="145" spans="3:19" ht="12.75">
      <c r="C145" s="130"/>
      <c r="D145" s="107" t="s">
        <v>465</v>
      </c>
      <c r="E145" s="69" t="s">
        <v>519</v>
      </c>
      <c r="F145" s="68" t="s">
        <v>323</v>
      </c>
      <c r="G145" s="143">
        <f t="shared" si="2"/>
        <v>0</v>
      </c>
      <c r="H145" s="152"/>
      <c r="I145" s="152"/>
      <c r="J145" s="152"/>
      <c r="K145" s="152"/>
      <c r="L145" s="155"/>
      <c r="M145" s="52"/>
      <c r="P145" s="115">
        <v>880</v>
      </c>
    </row>
    <row r="146" spans="3:19" ht="12.75">
      <c r="C146" s="130"/>
      <c r="D146" s="107" t="s">
        <v>466</v>
      </c>
      <c r="E146" s="71" t="s">
        <v>520</v>
      </c>
      <c r="F146" s="68" t="s">
        <v>324</v>
      </c>
      <c r="G146" s="143">
        <f t="shared" si="2"/>
        <v>0</v>
      </c>
      <c r="H146" s="152"/>
      <c r="I146" s="152"/>
      <c r="J146" s="152"/>
      <c r="K146" s="152"/>
      <c r="L146" s="155"/>
      <c r="M146" s="52"/>
      <c r="P146" s="115"/>
    </row>
    <row r="147" spans="3:19" ht="12.75">
      <c r="C147" s="130"/>
      <c r="D147" s="107" t="s">
        <v>467</v>
      </c>
      <c r="E147" s="69" t="s">
        <v>169</v>
      </c>
      <c r="F147" s="68" t="s">
        <v>325</v>
      </c>
      <c r="G147" s="143">
        <f t="shared" si="2"/>
        <v>0</v>
      </c>
      <c r="H147" s="157"/>
      <c r="I147" s="157"/>
      <c r="J147" s="157"/>
      <c r="K147" s="157"/>
      <c r="L147" s="155"/>
      <c r="M147" s="52"/>
      <c r="P147" s="115">
        <v>890</v>
      </c>
    </row>
    <row r="148" spans="3:19" ht="22.5">
      <c r="C148" s="130"/>
      <c r="D148" s="107" t="s">
        <v>468</v>
      </c>
      <c r="E148" s="88" t="s">
        <v>522</v>
      </c>
      <c r="F148" s="68" t="s">
        <v>326</v>
      </c>
      <c r="G148" s="143">
        <f t="shared" si="2"/>
        <v>4176.4865135760001</v>
      </c>
      <c r="H148" s="158">
        <f>SUM( H149:H150)</f>
        <v>0.13565711999999996</v>
      </c>
      <c r="I148" s="158">
        <f>SUM( I149:I150)</f>
        <v>3852.7173364560003</v>
      </c>
      <c r="J148" s="158">
        <f>SUM( J149:J150)</f>
        <v>220.30932240000001</v>
      </c>
      <c r="K148" s="158">
        <f>SUM( K149:K150)</f>
        <v>103.32419759999998</v>
      </c>
      <c r="L148" s="155"/>
      <c r="M148" s="52"/>
      <c r="P148" s="115">
        <v>900</v>
      </c>
    </row>
    <row r="149" spans="3:19" ht="12.75">
      <c r="C149" s="130"/>
      <c r="D149" s="107" t="s">
        <v>469</v>
      </c>
      <c r="E149" s="67" t="s">
        <v>167</v>
      </c>
      <c r="F149" s="68" t="s">
        <v>327</v>
      </c>
      <c r="G149" s="143">
        <f t="shared" si="2"/>
        <v>0</v>
      </c>
      <c r="H149" s="157"/>
      <c r="I149" s="157"/>
      <c r="J149" s="157"/>
      <c r="K149" s="157"/>
      <c r="L149" s="155"/>
      <c r="M149" s="52"/>
      <c r="P149" s="115"/>
    </row>
    <row r="150" spans="3:19" ht="12.75">
      <c r="C150" s="130"/>
      <c r="D150" s="107" t="s">
        <v>470</v>
      </c>
      <c r="E150" s="67" t="s">
        <v>507</v>
      </c>
      <c r="F150" s="68" t="s">
        <v>328</v>
      </c>
      <c r="G150" s="143">
        <f t="shared" si="2"/>
        <v>4176.4865135760001</v>
      </c>
      <c r="H150" s="158">
        <f>H151+H152</f>
        <v>0.13565711999999996</v>
      </c>
      <c r="I150" s="158">
        <f>I151+I152</f>
        <v>3852.7173364560003</v>
      </c>
      <c r="J150" s="158">
        <f>J151+J152</f>
        <v>220.30932240000001</v>
      </c>
      <c r="K150" s="158">
        <f>K151+K152</f>
        <v>103.32419759999998</v>
      </c>
      <c r="L150" s="155"/>
      <c r="M150" s="52"/>
      <c r="P150" s="115"/>
    </row>
    <row r="151" spans="3:19" ht="12.75">
      <c r="C151" s="130"/>
      <c r="D151" s="107" t="s">
        <v>471</v>
      </c>
      <c r="E151" s="69" t="s">
        <v>168</v>
      </c>
      <c r="F151" s="68" t="s">
        <v>331</v>
      </c>
      <c r="G151" s="143">
        <f t="shared" si="2"/>
        <v>3505.7952582960002</v>
      </c>
      <c r="H151" s="157"/>
      <c r="I151" s="157">
        <f>I129*51778.46/1000*1.2</f>
        <v>3505.7952582960002</v>
      </c>
      <c r="J151" s="157"/>
      <c r="K151" s="157"/>
      <c r="L151" s="155"/>
      <c r="M151" s="52"/>
      <c r="P151" s="115" t="s">
        <v>329</v>
      </c>
    </row>
    <row r="152" spans="3:19" ht="12.75">
      <c r="C152" s="130"/>
      <c r="D152" s="107" t="s">
        <v>472</v>
      </c>
      <c r="E152" s="69" t="s">
        <v>169</v>
      </c>
      <c r="F152" s="68" t="s">
        <v>332</v>
      </c>
      <c r="G152" s="143">
        <f t="shared" si="2"/>
        <v>670.69125527999995</v>
      </c>
      <c r="H152" s="157">
        <f>H130*81.8/1000*1.2</f>
        <v>0.13565711999999996</v>
      </c>
      <c r="I152" s="157">
        <f>I130*81.8/1000*1.2</f>
        <v>346.92207815999996</v>
      </c>
      <c r="J152" s="157">
        <f>J130*81.8/1000*1.2</f>
        <v>220.30932240000001</v>
      </c>
      <c r="K152" s="157">
        <f>K130*81.8/1000*1.2</f>
        <v>103.32419759999998</v>
      </c>
      <c r="L152" s="155"/>
      <c r="M152" s="52"/>
      <c r="P152" s="115" t="s">
        <v>330</v>
      </c>
    </row>
    <row r="153" spans="3:19">
      <c r="D153" s="135"/>
      <c r="E153" s="159"/>
      <c r="F153" s="159"/>
      <c r="G153" s="159"/>
      <c r="H153" s="159"/>
      <c r="I153" s="159"/>
      <c r="J153" s="159"/>
      <c r="K153" s="160"/>
      <c r="L153" s="160"/>
      <c r="M153" s="160"/>
      <c r="N153" s="160"/>
      <c r="O153" s="160"/>
      <c r="P153" s="160"/>
      <c r="Q153" s="160"/>
      <c r="R153" s="161"/>
      <c r="S153" s="161"/>
    </row>
    <row r="154" spans="3:19">
      <c r="E154" s="160"/>
      <c r="F154" s="160"/>
      <c r="G154" s="160"/>
      <c r="H154" s="160"/>
      <c r="I154" s="160"/>
      <c r="J154" s="160"/>
      <c r="K154" s="160"/>
      <c r="L154" s="160"/>
      <c r="M154" s="160"/>
      <c r="N154" s="160"/>
      <c r="O154" s="160"/>
      <c r="P154" s="160"/>
      <c r="Q154" s="160"/>
      <c r="R154" s="161"/>
      <c r="S154" s="161"/>
    </row>
    <row r="155" spans="3:19">
      <c r="E155" s="160"/>
      <c r="F155" s="160"/>
      <c r="G155" s="160"/>
      <c r="H155" s="160"/>
      <c r="I155" s="160"/>
      <c r="J155" s="160"/>
      <c r="K155" s="160"/>
      <c r="L155" s="160"/>
      <c r="M155" s="160"/>
      <c r="N155" s="160"/>
      <c r="O155" s="160"/>
      <c r="P155" s="160"/>
      <c r="Q155" s="160"/>
      <c r="R155" s="161"/>
      <c r="S155" s="161"/>
    </row>
    <row r="156" spans="3:19">
      <c r="E156" s="160"/>
      <c r="F156" s="160"/>
      <c r="G156" s="160"/>
      <c r="H156" s="160"/>
      <c r="I156" s="160"/>
      <c r="J156" s="160"/>
      <c r="K156" s="160"/>
      <c r="L156" s="160"/>
      <c r="M156" s="160"/>
      <c r="N156" s="160"/>
      <c r="O156" s="160"/>
      <c r="P156" s="160"/>
      <c r="Q156" s="160"/>
      <c r="R156" s="161"/>
      <c r="S156" s="161"/>
    </row>
    <row r="157" spans="3:19"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1"/>
      <c r="S157" s="161"/>
    </row>
    <row r="158" spans="3:19"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1"/>
      <c r="S158" s="161"/>
    </row>
    <row r="159" spans="3:19"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1"/>
      <c r="S159" s="161"/>
    </row>
    <row r="160" spans="3:19"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1"/>
      <c r="S160" s="161"/>
    </row>
    <row r="161" spans="5:19"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1"/>
      <c r="S161" s="161"/>
    </row>
    <row r="162" spans="5:19"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1"/>
      <c r="S162" s="161"/>
    </row>
    <row r="163" spans="5:19"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1"/>
      <c r="S163" s="161"/>
    </row>
    <row r="164" spans="5:19"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1"/>
      <c r="S164" s="161"/>
    </row>
    <row r="165" spans="5:19">
      <c r="E165" s="160"/>
      <c r="F165" s="160"/>
      <c r="G165" s="160"/>
      <c r="H165" s="160"/>
      <c r="I165" s="160"/>
      <c r="J165" s="160"/>
      <c r="K165" s="160"/>
      <c r="L165" s="160"/>
      <c r="M165" s="160"/>
      <c r="N165" s="160"/>
      <c r="O165" s="160"/>
      <c r="P165" s="160"/>
      <c r="Q165" s="160"/>
      <c r="R165" s="161"/>
      <c r="S165" s="161"/>
    </row>
    <row r="166" spans="5:19">
      <c r="E166" s="160"/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1"/>
      <c r="S166" s="161"/>
    </row>
    <row r="167" spans="5:19"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1"/>
      <c r="S167" s="161"/>
    </row>
    <row r="168" spans="5:19"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1"/>
      <c r="S168" s="161"/>
    </row>
    <row r="169" spans="5:19"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1"/>
      <c r="S169" s="161"/>
    </row>
    <row r="170" spans="5:19"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1"/>
      <c r="S170" s="161"/>
    </row>
    <row r="171" spans="5:19"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1"/>
      <c r="S171" s="161"/>
    </row>
    <row r="172" spans="5:19"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1"/>
      <c r="S172" s="161"/>
    </row>
    <row r="173" spans="5:19"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1"/>
      <c r="S173" s="161"/>
    </row>
    <row r="174" spans="5:19"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1"/>
      <c r="S174" s="161"/>
    </row>
    <row r="175" spans="5:19"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1"/>
      <c r="S175" s="161"/>
    </row>
    <row r="176" spans="5:19"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1"/>
      <c r="S176" s="161"/>
    </row>
    <row r="177" spans="5:19"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1"/>
      <c r="S177" s="161"/>
    </row>
    <row r="178" spans="5:19">
      <c r="E178" s="161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1"/>
      <c r="S178" s="161"/>
    </row>
    <row r="179" spans="5:19">
      <c r="E179" s="161"/>
      <c r="F179" s="161"/>
      <c r="G179" s="161"/>
      <c r="H179" s="161"/>
      <c r="I179" s="161"/>
      <c r="J179" s="161"/>
      <c r="K179" s="161"/>
      <c r="L179" s="161"/>
      <c r="M179" s="161"/>
      <c r="N179" s="161"/>
      <c r="O179" s="161"/>
      <c r="P179" s="161"/>
      <c r="Q179" s="161"/>
      <c r="R179" s="161"/>
      <c r="S179" s="161"/>
    </row>
    <row r="180" spans="5:19">
      <c r="E180" s="161"/>
      <c r="F180" s="161"/>
      <c r="G180" s="161"/>
      <c r="H180" s="161"/>
      <c r="I180" s="161"/>
      <c r="J180" s="161"/>
      <c r="K180" s="161"/>
      <c r="L180" s="161"/>
      <c r="M180" s="161"/>
      <c r="N180" s="161"/>
      <c r="O180" s="161"/>
      <c r="P180" s="161"/>
      <c r="Q180" s="161"/>
      <c r="R180" s="161"/>
      <c r="S180" s="161"/>
    </row>
    <row r="181" spans="5:19">
      <c r="E181" s="161"/>
      <c r="F181" s="161"/>
      <c r="G181" s="161"/>
      <c r="H181" s="161"/>
      <c r="I181" s="161"/>
      <c r="J181" s="161"/>
      <c r="K181" s="161"/>
      <c r="L181" s="161"/>
      <c r="M181" s="161"/>
      <c r="N181" s="161"/>
      <c r="O181" s="161"/>
      <c r="P181" s="161"/>
      <c r="Q181" s="161"/>
      <c r="R181" s="161"/>
      <c r="S181" s="161"/>
    </row>
  </sheetData>
  <mergeCells count="11">
    <mergeCell ref="D14:K14"/>
    <mergeCell ref="D54:K54"/>
    <mergeCell ref="D94:K94"/>
    <mergeCell ref="D98:K98"/>
    <mergeCell ref="D131:K131"/>
    <mergeCell ref="H11:K11"/>
    <mergeCell ref="D8:E8"/>
    <mergeCell ref="D11:D12"/>
    <mergeCell ref="E11:E12"/>
    <mergeCell ref="F11:F12"/>
    <mergeCell ref="G11:G12"/>
  </mergeCells>
  <dataValidations count="2">
    <dataValidation allowBlank="1" showInputMessage="1" promptTitle="Ввод" prompt="Для выбора организации необходимо два раза нажать левую клавишу мыши!" sqref="E43 E65:E67 E83 E25:E27"/>
    <dataValidation type="decimal" allowBlank="1" showErrorMessage="1" errorTitle="Ошибка" error="Допускается ввод только действительных чисел!" sqref="G23:K27 G63:K67 G55:K58 G60:K61 G132:K152 G29:K43 G45:K53 G20:K21 G99:K130 G85:K93 G15:K18 G69:K83 G95:K97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7"/>
  <sheetViews>
    <sheetView topLeftCell="C124" workbookViewId="0">
      <selection activeCell="D10" sqref="D10"/>
    </sheetView>
  </sheetViews>
  <sheetFormatPr defaultRowHeight="11.25"/>
  <cols>
    <col min="1" max="2" width="9.140625" style="125" hidden="1" customWidth="1"/>
    <col min="3" max="3" width="4.140625" style="125" customWidth="1"/>
    <col min="4" max="4" width="9.140625" style="125" customWidth="1"/>
    <col min="5" max="5" width="69" style="125" customWidth="1"/>
    <col min="6" max="6" width="6.7109375" style="125" customWidth="1"/>
    <col min="7" max="11" width="15.7109375" style="125" customWidth="1"/>
    <col min="12" max="12" width="6.7109375" style="125" customWidth="1"/>
    <col min="13" max="16" width="15.7109375" style="125" customWidth="1"/>
    <col min="17" max="35" width="11.7109375" style="125" customWidth="1"/>
    <col min="36" max="16384" width="9.140625" style="125"/>
  </cols>
  <sheetData>
    <row r="1" spans="1:81" hidden="1">
      <c r="S1" s="126"/>
      <c r="T1" s="126"/>
      <c r="U1" s="126"/>
      <c r="V1" s="126"/>
      <c r="Y1" s="126"/>
      <c r="AA1" s="126"/>
      <c r="AN1" s="126"/>
      <c r="AO1" s="126"/>
      <c r="AP1" s="126"/>
      <c r="BC1" s="126"/>
      <c r="BF1" s="126"/>
      <c r="BG1" s="126"/>
      <c r="BI1" s="126"/>
      <c r="BM1" s="126"/>
      <c r="BO1" s="126"/>
      <c r="BX1" s="126"/>
      <c r="BY1" s="126"/>
      <c r="CC1" s="126"/>
    </row>
    <row r="2" spans="1:81" hidden="1"/>
    <row r="3" spans="1:81" hidden="1"/>
    <row r="4" spans="1:81" hidden="1">
      <c r="A4" s="127"/>
      <c r="F4" s="128"/>
      <c r="G4" s="128"/>
      <c r="H4" s="128"/>
      <c r="I4" s="128"/>
      <c r="J4" s="128"/>
      <c r="K4" s="128"/>
      <c r="M4" s="128"/>
      <c r="N4" s="128"/>
      <c r="O4" s="128"/>
      <c r="P4" s="128"/>
      <c r="Q4" s="128"/>
    </row>
    <row r="5" spans="1:81" hidden="1">
      <c r="A5" s="129"/>
      <c r="F5" s="125" t="s">
        <v>142</v>
      </c>
      <c r="G5" s="125" t="s">
        <v>143</v>
      </c>
      <c r="H5" s="125" t="s">
        <v>144</v>
      </c>
      <c r="I5" s="125" t="s">
        <v>145</v>
      </c>
      <c r="J5" s="125" t="s">
        <v>146</v>
      </c>
      <c r="K5" s="125" t="s">
        <v>147</v>
      </c>
      <c r="L5" s="125" t="s">
        <v>148</v>
      </c>
      <c r="M5" s="125" t="s">
        <v>149</v>
      </c>
      <c r="N5" s="125" t="s">
        <v>149</v>
      </c>
      <c r="O5" s="125" t="s">
        <v>150</v>
      </c>
      <c r="P5" s="125" t="s">
        <v>151</v>
      </c>
      <c r="Q5" s="125" t="s">
        <v>152</v>
      </c>
    </row>
    <row r="6" spans="1:81" hidden="1">
      <c r="A6" s="129"/>
    </row>
    <row r="7" spans="1:81" ht="12" customHeight="1">
      <c r="A7" s="129"/>
      <c r="D7" s="130"/>
      <c r="E7" s="130"/>
      <c r="F7" s="130"/>
      <c r="G7" s="130"/>
      <c r="H7" s="130"/>
      <c r="I7" s="130"/>
      <c r="J7" s="130"/>
      <c r="K7" s="131"/>
      <c r="Q7" s="132"/>
    </row>
    <row r="8" spans="1:81" ht="22.5" customHeight="1">
      <c r="A8" s="129"/>
      <c r="D8" s="183" t="s">
        <v>153</v>
      </c>
      <c r="E8" s="18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</row>
    <row r="9" spans="1:81">
      <c r="A9" s="129"/>
      <c r="D9" s="164">
        <v>44866</v>
      </c>
      <c r="E9" s="134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</row>
    <row r="10" spans="1:81" ht="12" customHeight="1">
      <c r="D10" s="135"/>
      <c r="E10" s="135"/>
      <c r="F10" s="130"/>
      <c r="G10" s="130"/>
      <c r="H10" s="130"/>
      <c r="I10" s="130"/>
      <c r="K10" s="136" t="s">
        <v>132</v>
      </c>
    </row>
    <row r="11" spans="1:81" ht="15" customHeight="1">
      <c r="C11" s="130"/>
      <c r="D11" s="172" t="s">
        <v>140</v>
      </c>
      <c r="E11" s="185" t="s">
        <v>154</v>
      </c>
      <c r="F11" s="185" t="s">
        <v>133</v>
      </c>
      <c r="G11" s="185" t="s">
        <v>155</v>
      </c>
      <c r="H11" s="185" t="s">
        <v>156</v>
      </c>
      <c r="I11" s="185"/>
      <c r="J11" s="185"/>
      <c r="K11" s="187"/>
      <c r="L11" s="137"/>
    </row>
    <row r="12" spans="1:81" ht="15" customHeight="1">
      <c r="C12" s="130"/>
      <c r="D12" s="184"/>
      <c r="E12" s="186"/>
      <c r="F12" s="186"/>
      <c r="G12" s="186"/>
      <c r="H12" s="170" t="s">
        <v>134</v>
      </c>
      <c r="I12" s="170" t="s">
        <v>135</v>
      </c>
      <c r="J12" s="170" t="s">
        <v>136</v>
      </c>
      <c r="K12" s="139" t="s">
        <v>137</v>
      </c>
      <c r="L12" s="137"/>
    </row>
    <row r="13" spans="1:81" ht="12" customHeight="1">
      <c r="D13" s="25">
        <v>0</v>
      </c>
      <c r="E13" s="25">
        <v>1</v>
      </c>
      <c r="F13" s="25">
        <v>2</v>
      </c>
      <c r="G13" s="25">
        <v>3</v>
      </c>
      <c r="H13" s="25">
        <v>4</v>
      </c>
      <c r="I13" s="25">
        <v>5</v>
      </c>
      <c r="J13" s="25">
        <v>6</v>
      </c>
      <c r="K13" s="25">
        <v>7</v>
      </c>
    </row>
    <row r="14" spans="1:81" s="140" customFormat="1" ht="15" customHeight="1">
      <c r="C14" s="141"/>
      <c r="D14" s="174" t="s">
        <v>200</v>
      </c>
      <c r="E14" s="175"/>
      <c r="F14" s="175"/>
      <c r="G14" s="175"/>
      <c r="H14" s="175"/>
      <c r="I14" s="175"/>
      <c r="J14" s="175"/>
      <c r="K14" s="176"/>
      <c r="L14" s="142"/>
    </row>
    <row r="15" spans="1:81" s="140" customFormat="1" ht="15" customHeight="1">
      <c r="C15" s="141"/>
      <c r="D15" s="106" t="s">
        <v>370</v>
      </c>
      <c r="E15" s="88" t="s">
        <v>498</v>
      </c>
      <c r="F15" s="68">
        <v>10</v>
      </c>
      <c r="G15" s="143">
        <f>SUM(H15:K15)</f>
        <v>7542.9840000000004</v>
      </c>
      <c r="H15" s="143">
        <f>H16+H17+H20+H23</f>
        <v>979.67600000000004</v>
      </c>
      <c r="I15" s="143">
        <f>I16+I17+I20+I23</f>
        <v>4987.1540000000005</v>
      </c>
      <c r="J15" s="143">
        <f>J16+J17+J20+J23</f>
        <v>1576.1539999999998</v>
      </c>
      <c r="K15" s="143">
        <f>K16+K17+K20+K23</f>
        <v>0</v>
      </c>
      <c r="L15" s="142"/>
      <c r="M15" s="52"/>
      <c r="P15" s="115">
        <v>10</v>
      </c>
    </row>
    <row r="16" spans="1:81" s="140" customFormat="1" ht="15" customHeight="1">
      <c r="C16" s="141"/>
      <c r="D16" s="106" t="s">
        <v>371</v>
      </c>
      <c r="E16" s="67" t="s">
        <v>210</v>
      </c>
      <c r="F16" s="68">
        <v>20</v>
      </c>
      <c r="G16" s="143">
        <f t="shared" ref="G16:G138" si="0">SUM(H16:K16)</f>
        <v>0</v>
      </c>
      <c r="H16" s="122"/>
      <c r="I16" s="122"/>
      <c r="J16" s="122"/>
      <c r="K16" s="122"/>
      <c r="L16" s="142"/>
      <c r="M16" s="52"/>
      <c r="P16" s="115">
        <v>20</v>
      </c>
    </row>
    <row r="17" spans="3:16" s="140" customFormat="1" ht="12.75">
      <c r="C17" s="141"/>
      <c r="D17" s="106" t="s">
        <v>372</v>
      </c>
      <c r="E17" s="67" t="s">
        <v>499</v>
      </c>
      <c r="F17" s="68">
        <v>30</v>
      </c>
      <c r="G17" s="143">
        <f t="shared" si="0"/>
        <v>0</v>
      </c>
      <c r="H17" s="143">
        <f>SUM(H18:H19)</f>
        <v>0</v>
      </c>
      <c r="I17" s="143">
        <f>SUM(I18:I19)</f>
        <v>0</v>
      </c>
      <c r="J17" s="143">
        <f>SUM(J18:J19)</f>
        <v>0</v>
      </c>
      <c r="K17" s="143">
        <f>SUM(K18:K19)</f>
        <v>0</v>
      </c>
      <c r="L17" s="142"/>
      <c r="M17" s="52"/>
      <c r="P17" s="115">
        <v>30</v>
      </c>
    </row>
    <row r="18" spans="3:16" s="140" customFormat="1" ht="12.75">
      <c r="C18" s="141"/>
      <c r="D18" s="113" t="s">
        <v>480</v>
      </c>
      <c r="E18" s="144"/>
      <c r="F18" s="84" t="s">
        <v>336</v>
      </c>
      <c r="G18" s="145"/>
      <c r="H18" s="145"/>
      <c r="I18" s="145"/>
      <c r="J18" s="145"/>
      <c r="K18" s="145"/>
      <c r="L18" s="142"/>
      <c r="M18" s="52"/>
      <c r="P18" s="115"/>
    </row>
    <row r="19" spans="3:16" s="140" customFormat="1" ht="12.75">
      <c r="C19" s="141"/>
      <c r="D19" s="108"/>
      <c r="E19" s="104" t="s">
        <v>334</v>
      </c>
      <c r="F19" s="73"/>
      <c r="G19" s="73"/>
      <c r="H19" s="73"/>
      <c r="I19" s="73"/>
      <c r="J19" s="73"/>
      <c r="K19" s="74"/>
      <c r="L19" s="142"/>
      <c r="M19" s="52"/>
      <c r="P19" s="116"/>
    </row>
    <row r="20" spans="3:16" s="140" customFormat="1" ht="12.75">
      <c r="C20" s="141"/>
      <c r="D20" s="106" t="s">
        <v>373</v>
      </c>
      <c r="E20" s="67" t="s">
        <v>500</v>
      </c>
      <c r="F20" s="68" t="s">
        <v>211</v>
      </c>
      <c r="G20" s="143">
        <f t="shared" si="0"/>
        <v>0</v>
      </c>
      <c r="H20" s="143">
        <f>SUM(H21:H22)</f>
        <v>0</v>
      </c>
      <c r="I20" s="143">
        <f>SUM(I21:I22)</f>
        <v>0</v>
      </c>
      <c r="J20" s="143">
        <f>SUM(J21:J22)</f>
        <v>0</v>
      </c>
      <c r="K20" s="143">
        <f>SUM(K21:K22)</f>
        <v>0</v>
      </c>
      <c r="L20" s="142"/>
      <c r="M20" s="52"/>
      <c r="P20" s="116"/>
    </row>
    <row r="21" spans="3:16" s="140" customFormat="1" ht="12.75">
      <c r="C21" s="141"/>
      <c r="D21" s="113" t="s">
        <v>481</v>
      </c>
      <c r="E21" s="144"/>
      <c r="F21" s="84" t="s">
        <v>211</v>
      </c>
      <c r="G21" s="145"/>
      <c r="H21" s="145"/>
      <c r="I21" s="145"/>
      <c r="J21" s="145"/>
      <c r="K21" s="145"/>
      <c r="L21" s="142"/>
      <c r="M21" s="52"/>
      <c r="P21" s="115"/>
    </row>
    <row r="22" spans="3:16" s="140" customFormat="1" ht="12.75">
      <c r="C22" s="141"/>
      <c r="D22" s="108"/>
      <c r="E22" s="104" t="s">
        <v>334</v>
      </c>
      <c r="F22" s="73"/>
      <c r="G22" s="73"/>
      <c r="H22" s="73"/>
      <c r="I22" s="73"/>
      <c r="J22" s="73"/>
      <c r="K22" s="74"/>
      <c r="L22" s="142"/>
      <c r="M22" s="52"/>
      <c r="P22" s="116"/>
    </row>
    <row r="23" spans="3:16" s="140" customFormat="1" ht="12.75">
      <c r="C23" s="141"/>
      <c r="D23" s="106" t="s">
        <v>374</v>
      </c>
      <c r="E23" s="67" t="s">
        <v>501</v>
      </c>
      <c r="F23" s="68" t="s">
        <v>212</v>
      </c>
      <c r="G23" s="143">
        <f t="shared" si="0"/>
        <v>7542.9840000000004</v>
      </c>
      <c r="H23" s="143">
        <f>SUM(H24:H28)</f>
        <v>979.67600000000004</v>
      </c>
      <c r="I23" s="143">
        <f>SUM(I24:I28)</f>
        <v>4987.1540000000005</v>
      </c>
      <c r="J23" s="143">
        <f>SUM(J24:J28)</f>
        <v>1576.1539999999998</v>
      </c>
      <c r="K23" s="143">
        <f>SUM(K24:K28)</f>
        <v>0</v>
      </c>
      <c r="L23" s="142"/>
      <c r="M23" s="52"/>
      <c r="P23" s="115">
        <v>40</v>
      </c>
    </row>
    <row r="24" spans="3:16" s="140" customFormat="1" ht="12.75">
      <c r="C24" s="141"/>
      <c r="D24" s="113" t="s">
        <v>482</v>
      </c>
      <c r="E24" s="144"/>
      <c r="F24" s="84" t="s">
        <v>212</v>
      </c>
      <c r="G24" s="145"/>
      <c r="H24" s="145"/>
      <c r="I24" s="145"/>
      <c r="J24" s="145"/>
      <c r="K24" s="145"/>
      <c r="L24" s="142"/>
      <c r="M24" s="52"/>
      <c r="P24" s="115"/>
    </row>
    <row r="25" spans="3:16" s="140" customFormat="1" ht="14.25">
      <c r="C25" s="121" t="s">
        <v>0</v>
      </c>
      <c r="D25" s="146" t="s">
        <v>1874</v>
      </c>
      <c r="E25" s="82" t="s">
        <v>2047</v>
      </c>
      <c r="F25" s="79">
        <v>431</v>
      </c>
      <c r="G25" s="147">
        <f>SUM(H25:K25)</f>
        <v>7150.4980000000005</v>
      </c>
      <c r="H25" s="148">
        <v>979.67600000000004</v>
      </c>
      <c r="I25" s="148">
        <v>4987.1540000000005</v>
      </c>
      <c r="J25" s="148">
        <v>1183.6679999999999</v>
      </c>
      <c r="K25" s="149"/>
      <c r="L25" s="142"/>
      <c r="M25" s="85" t="s">
        <v>1842</v>
      </c>
      <c r="N25" s="86" t="s">
        <v>1438</v>
      </c>
      <c r="O25" s="86" t="s">
        <v>1841</v>
      </c>
    </row>
    <row r="26" spans="3:16" s="140" customFormat="1" ht="14.25">
      <c r="C26" s="121" t="s">
        <v>0</v>
      </c>
      <c r="D26" s="146" t="s">
        <v>2072</v>
      </c>
      <c r="E26" s="82" t="s">
        <v>1467</v>
      </c>
      <c r="F26" s="79">
        <v>432</v>
      </c>
      <c r="G26" s="147">
        <f>SUM(H26:K26)</f>
        <v>303.68599999999998</v>
      </c>
      <c r="H26" s="148"/>
      <c r="I26" s="148"/>
      <c r="J26" s="148">
        <v>303.68599999999998</v>
      </c>
      <c r="K26" s="149"/>
      <c r="L26" s="142"/>
      <c r="M26" s="85" t="s">
        <v>1468</v>
      </c>
      <c r="N26" s="86" t="s">
        <v>1438</v>
      </c>
      <c r="O26" s="86" t="s">
        <v>1466</v>
      </c>
    </row>
    <row r="27" spans="3:16" s="140" customFormat="1" ht="14.25">
      <c r="C27" s="121" t="s">
        <v>0</v>
      </c>
      <c r="D27" s="146" t="s">
        <v>2137</v>
      </c>
      <c r="E27" s="82" t="s">
        <v>1713</v>
      </c>
      <c r="F27" s="79">
        <v>433</v>
      </c>
      <c r="G27" s="147">
        <f>SUM(H27:K27)</f>
        <v>88.8</v>
      </c>
      <c r="H27" s="148"/>
      <c r="I27" s="148"/>
      <c r="J27" s="148">
        <v>88.8</v>
      </c>
      <c r="K27" s="149"/>
      <c r="L27" s="142"/>
      <c r="M27" s="85" t="s">
        <v>1714</v>
      </c>
      <c r="N27" s="86" t="s">
        <v>1446</v>
      </c>
      <c r="O27" s="86" t="s">
        <v>1712</v>
      </c>
    </row>
    <row r="28" spans="3:16" s="140" customFormat="1" ht="12.75">
      <c r="C28" s="141"/>
      <c r="D28" s="108"/>
      <c r="E28" s="104" t="s">
        <v>334</v>
      </c>
      <c r="F28" s="73"/>
      <c r="G28" s="73"/>
      <c r="H28" s="73"/>
      <c r="I28" s="73"/>
      <c r="J28" s="73"/>
      <c r="K28" s="74"/>
      <c r="L28" s="142"/>
      <c r="M28" s="52"/>
      <c r="P28" s="115"/>
    </row>
    <row r="29" spans="3:16" s="140" customFormat="1" ht="12.75">
      <c r="C29" s="141"/>
      <c r="D29" s="106" t="s">
        <v>375</v>
      </c>
      <c r="E29" s="88" t="s">
        <v>157</v>
      </c>
      <c r="F29" s="68" t="s">
        <v>213</v>
      </c>
      <c r="G29" s="143">
        <f t="shared" si="0"/>
        <v>2881.7740000000013</v>
      </c>
      <c r="H29" s="143">
        <f>H31+H32+H33</f>
        <v>0</v>
      </c>
      <c r="I29" s="143">
        <f>I30+I32+I33</f>
        <v>0</v>
      </c>
      <c r="J29" s="143">
        <f>J30+J31+J33</f>
        <v>1822.4250000000006</v>
      </c>
      <c r="K29" s="143">
        <f>K30+K31+K32</f>
        <v>1059.3490000000006</v>
      </c>
      <c r="L29" s="142"/>
      <c r="M29" s="52"/>
      <c r="P29" s="115">
        <v>50</v>
      </c>
    </row>
    <row r="30" spans="3:16" s="140" customFormat="1" ht="12.75">
      <c r="C30" s="141"/>
      <c r="D30" s="106" t="s">
        <v>376</v>
      </c>
      <c r="E30" s="67" t="s">
        <v>134</v>
      </c>
      <c r="F30" s="68" t="s">
        <v>214</v>
      </c>
      <c r="G30" s="143">
        <f t="shared" si="0"/>
        <v>977.90700000000004</v>
      </c>
      <c r="H30" s="150"/>
      <c r="I30" s="122"/>
      <c r="J30" s="122">
        <f>H46</f>
        <v>977.90700000000004</v>
      </c>
      <c r="K30" s="122"/>
      <c r="L30" s="142"/>
      <c r="M30" s="52"/>
      <c r="P30" s="115">
        <v>60</v>
      </c>
    </row>
    <row r="31" spans="3:16" s="140" customFormat="1" ht="12.75">
      <c r="C31" s="141"/>
      <c r="D31" s="106" t="s">
        <v>377</v>
      </c>
      <c r="E31" s="67" t="s">
        <v>135</v>
      </c>
      <c r="F31" s="68" t="s">
        <v>215</v>
      </c>
      <c r="G31" s="143">
        <f t="shared" si="0"/>
        <v>844.51800000000048</v>
      </c>
      <c r="H31" s="122"/>
      <c r="I31" s="150"/>
      <c r="J31" s="122">
        <f>I25-I35-I49</f>
        <v>844.51800000000048</v>
      </c>
      <c r="K31" s="122"/>
      <c r="L31" s="142"/>
      <c r="M31" s="52"/>
      <c r="P31" s="115">
        <v>70</v>
      </c>
    </row>
    <row r="32" spans="3:16" s="140" customFormat="1" ht="12.75">
      <c r="C32" s="141"/>
      <c r="D32" s="106" t="s">
        <v>378</v>
      </c>
      <c r="E32" s="67" t="s">
        <v>136</v>
      </c>
      <c r="F32" s="68" t="s">
        <v>216</v>
      </c>
      <c r="G32" s="143">
        <f t="shared" si="0"/>
        <v>1059.3490000000006</v>
      </c>
      <c r="H32" s="122"/>
      <c r="I32" s="122"/>
      <c r="J32" s="150"/>
      <c r="K32" s="122">
        <f>J23+J29+J17-J49-J35</f>
        <v>1059.3490000000006</v>
      </c>
      <c r="L32" s="142"/>
      <c r="M32" s="52"/>
      <c r="P32" s="115">
        <v>80</v>
      </c>
    </row>
    <row r="33" spans="3:16" s="140" customFormat="1" ht="12.75">
      <c r="C33" s="141"/>
      <c r="D33" s="106" t="s">
        <v>379</v>
      </c>
      <c r="E33" s="67" t="s">
        <v>158</v>
      </c>
      <c r="F33" s="68" t="s">
        <v>217</v>
      </c>
      <c r="G33" s="143">
        <f t="shared" si="0"/>
        <v>0</v>
      </c>
      <c r="H33" s="122"/>
      <c r="I33" s="122"/>
      <c r="J33" s="122"/>
      <c r="K33" s="150"/>
      <c r="L33" s="142"/>
      <c r="M33" s="52"/>
      <c r="P33" s="115">
        <v>90</v>
      </c>
    </row>
    <row r="34" spans="3:16" s="140" customFormat="1" ht="12.75">
      <c r="C34" s="141"/>
      <c r="D34" s="106" t="s">
        <v>380</v>
      </c>
      <c r="E34" s="89" t="s">
        <v>161</v>
      </c>
      <c r="F34" s="68" t="s">
        <v>218</v>
      </c>
      <c r="G34" s="143">
        <f t="shared" si="0"/>
        <v>0</v>
      </c>
      <c r="H34" s="122"/>
      <c r="I34" s="122"/>
      <c r="J34" s="122"/>
      <c r="K34" s="122"/>
      <c r="L34" s="142"/>
      <c r="M34" s="52"/>
      <c r="P34" s="115"/>
    </row>
    <row r="35" spans="3:16" s="140" customFormat="1" ht="12.75">
      <c r="C35" s="141"/>
      <c r="D35" s="106" t="s">
        <v>381</v>
      </c>
      <c r="E35" s="88" t="s">
        <v>502</v>
      </c>
      <c r="F35" s="109" t="s">
        <v>219</v>
      </c>
      <c r="G35" s="143">
        <f t="shared" si="0"/>
        <v>7470.7530000000006</v>
      </c>
      <c r="H35" s="143">
        <f>H36+H38+H41+H45</f>
        <v>0</v>
      </c>
      <c r="I35" s="143">
        <f>I36+I38+I41+I45</f>
        <v>4086.79</v>
      </c>
      <c r="J35" s="143">
        <f>J36+J38+J41+J45</f>
        <v>2324.9810000000002</v>
      </c>
      <c r="K35" s="143">
        <f>K36+K38+K41+K45</f>
        <v>1058.982</v>
      </c>
      <c r="L35" s="142"/>
      <c r="M35" s="52"/>
      <c r="P35" s="115">
        <v>100</v>
      </c>
    </row>
    <row r="36" spans="3:16" s="140" customFormat="1" ht="22.5">
      <c r="C36" s="141"/>
      <c r="D36" s="106" t="s">
        <v>382</v>
      </c>
      <c r="E36" s="67" t="s">
        <v>503</v>
      </c>
      <c r="F36" s="68" t="s">
        <v>220</v>
      </c>
      <c r="G36" s="143">
        <f t="shared" si="0"/>
        <v>0</v>
      </c>
      <c r="H36" s="122"/>
      <c r="I36" s="122"/>
      <c r="J36" s="122"/>
      <c r="K36" s="122"/>
      <c r="L36" s="142"/>
      <c r="M36" s="52"/>
      <c r="P36" s="115"/>
    </row>
    <row r="37" spans="3:16" s="140" customFormat="1" ht="12.75">
      <c r="C37" s="141"/>
      <c r="D37" s="106" t="s">
        <v>486</v>
      </c>
      <c r="E37" s="69" t="s">
        <v>476</v>
      </c>
      <c r="F37" s="68" t="s">
        <v>223</v>
      </c>
      <c r="G37" s="143">
        <f t="shared" si="0"/>
        <v>0</v>
      </c>
      <c r="H37" s="122"/>
      <c r="I37" s="122"/>
      <c r="J37" s="122"/>
      <c r="K37" s="122"/>
      <c r="L37" s="142"/>
      <c r="M37" s="52"/>
      <c r="P37" s="115"/>
    </row>
    <row r="38" spans="3:16" s="140" customFormat="1" ht="12.75">
      <c r="C38" s="141"/>
      <c r="D38" s="106" t="s">
        <v>383</v>
      </c>
      <c r="E38" s="67" t="s">
        <v>221</v>
      </c>
      <c r="F38" s="68" t="s">
        <v>224</v>
      </c>
      <c r="G38" s="143">
        <f t="shared" si="0"/>
        <v>4076.451</v>
      </c>
      <c r="H38" s="122">
        <v>0</v>
      </c>
      <c r="I38" s="122">
        <f>4086.79-I43</f>
        <v>692.48799999999983</v>
      </c>
      <c r="J38" s="122">
        <v>2324.9810000000002</v>
      </c>
      <c r="K38" s="122">
        <v>1058.982</v>
      </c>
      <c r="L38" s="142"/>
      <c r="M38" s="52"/>
      <c r="P38" s="115"/>
    </row>
    <row r="39" spans="3:16" s="140" customFormat="1" ht="12.75">
      <c r="C39" s="141"/>
      <c r="D39" s="106" t="s">
        <v>487</v>
      </c>
      <c r="E39" s="69" t="s">
        <v>504</v>
      </c>
      <c r="F39" s="68" t="s">
        <v>225</v>
      </c>
      <c r="G39" s="143">
        <f t="shared" si="0"/>
        <v>0</v>
      </c>
      <c r="H39" s="122"/>
      <c r="I39" s="122"/>
      <c r="J39" s="122"/>
      <c r="K39" s="122"/>
      <c r="L39" s="142"/>
      <c r="M39" s="52"/>
      <c r="P39" s="115"/>
    </row>
    <row r="40" spans="3:16" s="140" customFormat="1" ht="12.75">
      <c r="C40" s="141"/>
      <c r="D40" s="106" t="s">
        <v>488</v>
      </c>
      <c r="E40" s="71" t="s">
        <v>476</v>
      </c>
      <c r="F40" s="68" t="s">
        <v>226</v>
      </c>
      <c r="G40" s="143">
        <f t="shared" si="0"/>
        <v>0</v>
      </c>
      <c r="H40" s="122"/>
      <c r="I40" s="122"/>
      <c r="J40" s="122"/>
      <c r="K40" s="122"/>
      <c r="L40" s="142"/>
      <c r="M40" s="52"/>
      <c r="P40" s="115"/>
    </row>
    <row r="41" spans="3:16" s="140" customFormat="1" ht="12.75">
      <c r="C41" s="141"/>
      <c r="D41" s="106" t="s">
        <v>384</v>
      </c>
      <c r="E41" s="67" t="s">
        <v>505</v>
      </c>
      <c r="F41" s="68" t="s">
        <v>227</v>
      </c>
      <c r="G41" s="143">
        <f t="shared" si="0"/>
        <v>3394.3020000000001</v>
      </c>
      <c r="H41" s="143">
        <f>SUM(H42:H44)</f>
        <v>0</v>
      </c>
      <c r="I41" s="143">
        <f>SUM(I42:I44)</f>
        <v>3394.3020000000001</v>
      </c>
      <c r="J41" s="143">
        <f>SUM(J42:J44)</f>
        <v>0</v>
      </c>
      <c r="K41" s="143">
        <f>SUM(K42:K44)</f>
        <v>0</v>
      </c>
      <c r="L41" s="142"/>
      <c r="M41" s="52"/>
      <c r="P41" s="115"/>
    </row>
    <row r="42" spans="3:16" s="140" customFormat="1" ht="12.75">
      <c r="C42" s="141"/>
      <c r="D42" s="113" t="s">
        <v>496</v>
      </c>
      <c r="E42" s="144"/>
      <c r="F42" s="84" t="s">
        <v>227</v>
      </c>
      <c r="G42" s="145"/>
      <c r="H42" s="145"/>
      <c r="I42" s="145"/>
      <c r="J42" s="145"/>
      <c r="K42" s="145"/>
      <c r="L42" s="142"/>
      <c r="M42" s="52"/>
      <c r="P42" s="115"/>
    </row>
    <row r="43" spans="3:16" s="140" customFormat="1" ht="14.25">
      <c r="C43" s="121" t="s">
        <v>0</v>
      </c>
      <c r="D43" s="146" t="s">
        <v>1875</v>
      </c>
      <c r="E43" s="82" t="s">
        <v>1467</v>
      </c>
      <c r="F43" s="79">
        <v>751</v>
      </c>
      <c r="G43" s="147">
        <f>SUM(H43:K43)</f>
        <v>3394.3020000000001</v>
      </c>
      <c r="H43" s="148"/>
      <c r="I43" s="148">
        <v>3394.3020000000001</v>
      </c>
      <c r="J43" s="148"/>
      <c r="K43" s="149"/>
      <c r="L43" s="142"/>
      <c r="M43" s="85" t="s">
        <v>1468</v>
      </c>
      <c r="N43" s="86" t="s">
        <v>1451</v>
      </c>
      <c r="O43" s="86" t="s">
        <v>1466</v>
      </c>
    </row>
    <row r="44" spans="3:16" s="140" customFormat="1" ht="12.75">
      <c r="C44" s="141"/>
      <c r="D44" s="76"/>
      <c r="E44" s="104" t="s">
        <v>334</v>
      </c>
      <c r="F44" s="73"/>
      <c r="G44" s="73"/>
      <c r="H44" s="73"/>
      <c r="I44" s="73"/>
      <c r="J44" s="73"/>
      <c r="K44" s="74"/>
      <c r="L44" s="142"/>
      <c r="M44" s="52"/>
      <c r="P44" s="115"/>
    </row>
    <row r="45" spans="3:16" s="140" customFormat="1" ht="12.75">
      <c r="C45" s="141"/>
      <c r="D45" s="106" t="s">
        <v>385</v>
      </c>
      <c r="E45" s="105" t="s">
        <v>477</v>
      </c>
      <c r="F45" s="68" t="s">
        <v>228</v>
      </c>
      <c r="G45" s="143">
        <f t="shared" si="0"/>
        <v>0</v>
      </c>
      <c r="H45" s="122"/>
      <c r="I45" s="122"/>
      <c r="J45" s="122"/>
      <c r="K45" s="122"/>
      <c r="L45" s="142"/>
      <c r="M45" s="52"/>
      <c r="P45" s="115">
        <v>120</v>
      </c>
    </row>
    <row r="46" spans="3:16" s="140" customFormat="1" ht="12.75">
      <c r="C46" s="141"/>
      <c r="D46" s="106" t="s">
        <v>386</v>
      </c>
      <c r="E46" s="88" t="s">
        <v>159</v>
      </c>
      <c r="F46" s="68" t="s">
        <v>229</v>
      </c>
      <c r="G46" s="143">
        <f t="shared" si="0"/>
        <v>2881.7740000000017</v>
      </c>
      <c r="H46" s="122">
        <f>H25-H49-H35</f>
        <v>977.90700000000004</v>
      </c>
      <c r="I46" s="122">
        <f>I15-I35-I49</f>
        <v>844.51800000000048</v>
      </c>
      <c r="J46" s="122">
        <f>J23+J29+J17-J35-J49</f>
        <v>1059.3490000000004</v>
      </c>
      <c r="K46" s="122">
        <f>K32-K35-K49</f>
        <v>6.4392935428259079E-13</v>
      </c>
      <c r="L46" s="142"/>
      <c r="M46" s="52"/>
      <c r="P46" s="115">
        <v>150</v>
      </c>
    </row>
    <row r="47" spans="3:16" s="140" customFormat="1" ht="12.75">
      <c r="C47" s="141"/>
      <c r="D47" s="106" t="s">
        <v>387</v>
      </c>
      <c r="E47" s="88" t="s">
        <v>160</v>
      </c>
      <c r="F47" s="68" t="s">
        <v>230</v>
      </c>
      <c r="G47" s="143">
        <f t="shared" si="0"/>
        <v>0</v>
      </c>
      <c r="H47" s="122"/>
      <c r="I47" s="122"/>
      <c r="J47" s="122"/>
      <c r="K47" s="122"/>
      <c r="L47" s="142"/>
      <c r="M47" s="52"/>
      <c r="P47" s="115">
        <v>160</v>
      </c>
    </row>
    <row r="48" spans="3:16" s="140" customFormat="1" ht="12.75">
      <c r="C48" s="141"/>
      <c r="D48" s="106" t="s">
        <v>388</v>
      </c>
      <c r="E48" s="88" t="s">
        <v>162</v>
      </c>
      <c r="F48" s="68" t="s">
        <v>231</v>
      </c>
      <c r="G48" s="143">
        <f t="shared" si="0"/>
        <v>0</v>
      </c>
      <c r="H48" s="122"/>
      <c r="I48" s="122"/>
      <c r="J48" s="122"/>
      <c r="K48" s="122"/>
      <c r="L48" s="142"/>
      <c r="M48" s="52"/>
      <c r="P48" s="115">
        <v>180</v>
      </c>
    </row>
    <row r="49" spans="3:16" s="140" customFormat="1" ht="12.75">
      <c r="C49" s="141"/>
      <c r="D49" s="106" t="s">
        <v>389</v>
      </c>
      <c r="E49" s="88" t="s">
        <v>473</v>
      </c>
      <c r="F49" s="68" t="s">
        <v>232</v>
      </c>
      <c r="G49" s="143">
        <f t="shared" si="0"/>
        <v>72.230999999999995</v>
      </c>
      <c r="H49" s="122">
        <v>1.7689999999999999</v>
      </c>
      <c r="I49" s="122">
        <v>55.845999999999997</v>
      </c>
      <c r="J49" s="122">
        <v>14.249000000000001</v>
      </c>
      <c r="K49" s="122">
        <v>0.36699999999999999</v>
      </c>
      <c r="L49" s="142"/>
      <c r="M49" s="52"/>
      <c r="P49" s="115">
        <v>190</v>
      </c>
    </row>
    <row r="50" spans="3:16" s="140" customFormat="1" ht="12.75">
      <c r="C50" s="141"/>
      <c r="D50" s="106" t="s">
        <v>390</v>
      </c>
      <c r="E50" s="67" t="s">
        <v>474</v>
      </c>
      <c r="F50" s="68" t="s">
        <v>234</v>
      </c>
      <c r="G50" s="143">
        <f t="shared" si="0"/>
        <v>0</v>
      </c>
      <c r="H50" s="122"/>
      <c r="I50" s="122"/>
      <c r="J50" s="122"/>
      <c r="K50" s="122"/>
      <c r="L50" s="142"/>
      <c r="M50" s="52"/>
      <c r="P50" s="115">
        <v>200</v>
      </c>
    </row>
    <row r="51" spans="3:16" s="140" customFormat="1" ht="22.5">
      <c r="C51" s="141"/>
      <c r="D51" s="106" t="s">
        <v>475</v>
      </c>
      <c r="E51" s="88" t="s">
        <v>417</v>
      </c>
      <c r="F51" s="68" t="s">
        <v>235</v>
      </c>
      <c r="G51" s="143">
        <f t="shared" si="0"/>
        <v>149.12899999999999</v>
      </c>
      <c r="H51" s="122"/>
      <c r="I51" s="122">
        <f>149.129*0.25776</f>
        <v>38.439491039999993</v>
      </c>
      <c r="J51" s="122">
        <f>149.129*0.37244</f>
        <v>55.541604759999998</v>
      </c>
      <c r="K51" s="122">
        <f>149.129*0.3698</f>
        <v>55.147904199999999</v>
      </c>
      <c r="L51" s="142"/>
      <c r="M51" s="52"/>
      <c r="P51" s="116"/>
    </row>
    <row r="52" spans="3:16" s="140" customFormat="1" ht="33.75">
      <c r="C52" s="141"/>
      <c r="D52" s="106" t="s">
        <v>391</v>
      </c>
      <c r="E52" s="89" t="s">
        <v>236</v>
      </c>
      <c r="F52" s="68" t="s">
        <v>237</v>
      </c>
      <c r="G52" s="143">
        <f t="shared" si="0"/>
        <v>-76.897999999999996</v>
      </c>
      <c r="H52" s="143">
        <f>H49-H51</f>
        <v>1.7689999999999999</v>
      </c>
      <c r="I52" s="143">
        <f>I49-I51</f>
        <v>17.406508960000004</v>
      </c>
      <c r="J52" s="143">
        <f>J49-J51</f>
        <v>-41.292604759999996</v>
      </c>
      <c r="K52" s="143">
        <f>K49-K51</f>
        <v>-54.780904200000002</v>
      </c>
      <c r="L52" s="142"/>
      <c r="M52" s="52"/>
      <c r="P52" s="116"/>
    </row>
    <row r="53" spans="3:16" s="140" customFormat="1" ht="12.75">
      <c r="C53" s="141"/>
      <c r="D53" s="106" t="s">
        <v>392</v>
      </c>
      <c r="E53" s="88" t="s">
        <v>163</v>
      </c>
      <c r="F53" s="68" t="s">
        <v>238</v>
      </c>
      <c r="G53" s="143">
        <f t="shared" si="0"/>
        <v>0</v>
      </c>
      <c r="H53" s="143">
        <f>(H15+H29+H34)-(H35+H46+H47+H48+H49)</f>
        <v>0</v>
      </c>
      <c r="I53" s="143">
        <f>(I15+I29+I34)-(I35+I46+I47+I48+I49)</f>
        <v>0</v>
      </c>
      <c r="J53" s="143">
        <f>(J15+J29+J34)-(J35+J46+J47+J48+J49)</f>
        <v>0</v>
      </c>
      <c r="K53" s="143">
        <f>(K15+K29+K34)-(K35+K46+K47+K48+K49)</f>
        <v>0</v>
      </c>
      <c r="L53" s="142"/>
      <c r="M53" s="52"/>
      <c r="P53" s="115">
        <v>210</v>
      </c>
    </row>
    <row r="54" spans="3:16" s="140" customFormat="1" ht="12.75">
      <c r="C54" s="141"/>
      <c r="D54" s="174" t="s">
        <v>201</v>
      </c>
      <c r="E54" s="175"/>
      <c r="F54" s="175"/>
      <c r="G54" s="175"/>
      <c r="H54" s="175"/>
      <c r="I54" s="175"/>
      <c r="J54" s="175"/>
      <c r="K54" s="176"/>
      <c r="L54" s="142"/>
      <c r="M54" s="52"/>
      <c r="P54" s="116"/>
    </row>
    <row r="55" spans="3:16" s="140" customFormat="1" ht="12.75">
      <c r="C55" s="141"/>
      <c r="D55" s="106" t="s">
        <v>393</v>
      </c>
      <c r="E55" s="88" t="s">
        <v>498</v>
      </c>
      <c r="F55" s="68" t="s">
        <v>239</v>
      </c>
      <c r="G55" s="143">
        <f t="shared" si="0"/>
        <v>10.476366666666667</v>
      </c>
      <c r="H55" s="143">
        <f>H56+H57+H60+H63</f>
        <v>1.3606611111111111</v>
      </c>
      <c r="I55" s="143">
        <f>I56+I57+I60+I63</f>
        <v>6.9266027777777781</v>
      </c>
      <c r="J55" s="143">
        <f>J56+J57+J60+J63</f>
        <v>2.1891027777777778</v>
      </c>
      <c r="K55" s="143">
        <f>K56+K57+K60+K63</f>
        <v>0</v>
      </c>
      <c r="L55" s="142"/>
      <c r="M55" s="52"/>
      <c r="P55" s="115">
        <v>300</v>
      </c>
    </row>
    <row r="56" spans="3:16" s="140" customFormat="1" ht="12.75">
      <c r="C56" s="141"/>
      <c r="D56" s="106" t="s">
        <v>394</v>
      </c>
      <c r="E56" s="67" t="s">
        <v>210</v>
      </c>
      <c r="F56" s="68" t="s">
        <v>240</v>
      </c>
      <c r="G56" s="143">
        <f t="shared" si="0"/>
        <v>0</v>
      </c>
      <c r="H56" s="122"/>
      <c r="I56" s="122"/>
      <c r="J56" s="122"/>
      <c r="K56" s="122"/>
      <c r="L56" s="142"/>
      <c r="M56" s="52"/>
      <c r="P56" s="115">
        <v>310</v>
      </c>
    </row>
    <row r="57" spans="3:16" s="140" customFormat="1" ht="12.75">
      <c r="C57" s="141"/>
      <c r="D57" s="106" t="s">
        <v>395</v>
      </c>
      <c r="E57" s="67" t="s">
        <v>499</v>
      </c>
      <c r="F57" s="68" t="s">
        <v>241</v>
      </c>
      <c r="G57" s="143">
        <f t="shared" si="0"/>
        <v>0</v>
      </c>
      <c r="H57" s="143">
        <f>SUM(H58:H59)</f>
        <v>0</v>
      </c>
      <c r="I57" s="143">
        <f>SUM(I58:I59)</f>
        <v>0</v>
      </c>
      <c r="J57" s="143">
        <f>SUM(J58:J59)</f>
        <v>0</v>
      </c>
      <c r="K57" s="143">
        <f>SUM(K58:K59)</f>
        <v>0</v>
      </c>
      <c r="L57" s="142"/>
      <c r="M57" s="52"/>
      <c r="P57" s="115">
        <v>320</v>
      </c>
    </row>
    <row r="58" spans="3:16" s="140" customFormat="1" ht="12.75">
      <c r="C58" s="141"/>
      <c r="D58" s="113" t="s">
        <v>483</v>
      </c>
      <c r="E58" s="144"/>
      <c r="F58" s="84" t="s">
        <v>241</v>
      </c>
      <c r="G58" s="145"/>
      <c r="H58" s="145"/>
      <c r="I58" s="145"/>
      <c r="J58" s="145"/>
      <c r="K58" s="145"/>
      <c r="L58" s="142"/>
      <c r="M58" s="52"/>
      <c r="P58" s="115"/>
    </row>
    <row r="59" spans="3:16" s="140" customFormat="1" ht="12.75">
      <c r="C59" s="141"/>
      <c r="D59" s="108"/>
      <c r="E59" s="104" t="s">
        <v>334</v>
      </c>
      <c r="F59" s="73"/>
      <c r="G59" s="73"/>
      <c r="H59" s="73"/>
      <c r="I59" s="73"/>
      <c r="J59" s="73"/>
      <c r="K59" s="74"/>
      <c r="L59" s="142"/>
      <c r="M59" s="52"/>
      <c r="P59" s="115"/>
    </row>
    <row r="60" spans="3:16" s="140" customFormat="1" ht="12.75">
      <c r="C60" s="141"/>
      <c r="D60" s="106" t="s">
        <v>396</v>
      </c>
      <c r="E60" s="67" t="s">
        <v>500</v>
      </c>
      <c r="F60" s="68" t="s">
        <v>242</v>
      </c>
      <c r="G60" s="143">
        <f t="shared" si="0"/>
        <v>0</v>
      </c>
      <c r="H60" s="143">
        <f>SUM(H61:H62)</f>
        <v>0</v>
      </c>
      <c r="I60" s="143">
        <f>SUM(I61:I62)</f>
        <v>0</v>
      </c>
      <c r="J60" s="143">
        <f>SUM(J61:J62)</f>
        <v>0</v>
      </c>
      <c r="K60" s="143">
        <f>SUM(K61:K62)</f>
        <v>0</v>
      </c>
      <c r="L60" s="142"/>
      <c r="M60" s="52"/>
      <c r="P60" s="115"/>
    </row>
    <row r="61" spans="3:16" s="140" customFormat="1" ht="12.75">
      <c r="C61" s="141"/>
      <c r="D61" s="113" t="s">
        <v>484</v>
      </c>
      <c r="E61" s="144"/>
      <c r="F61" s="84" t="s">
        <v>242</v>
      </c>
      <c r="G61" s="145"/>
      <c r="H61" s="145"/>
      <c r="I61" s="145"/>
      <c r="J61" s="145"/>
      <c r="K61" s="145"/>
      <c r="L61" s="142"/>
      <c r="M61" s="52"/>
      <c r="P61" s="115"/>
    </row>
    <row r="62" spans="3:16" s="140" customFormat="1" ht="12.75">
      <c r="C62" s="141"/>
      <c r="D62" s="108"/>
      <c r="E62" s="104" t="s">
        <v>334</v>
      </c>
      <c r="F62" s="73"/>
      <c r="G62" s="73"/>
      <c r="H62" s="73"/>
      <c r="I62" s="73"/>
      <c r="J62" s="73"/>
      <c r="K62" s="74"/>
      <c r="L62" s="142"/>
      <c r="M62" s="52"/>
      <c r="P62" s="115"/>
    </row>
    <row r="63" spans="3:16" s="140" customFormat="1" ht="12.75">
      <c r="C63" s="141"/>
      <c r="D63" s="106" t="s">
        <v>397</v>
      </c>
      <c r="E63" s="67" t="s">
        <v>501</v>
      </c>
      <c r="F63" s="68" t="s">
        <v>243</v>
      </c>
      <c r="G63" s="143">
        <f t="shared" si="0"/>
        <v>10.476366666666667</v>
      </c>
      <c r="H63" s="143">
        <f>SUM(H64:H68)</f>
        <v>1.3606611111111111</v>
      </c>
      <c r="I63" s="143">
        <f>SUM(I64:I68)</f>
        <v>6.9266027777777781</v>
      </c>
      <c r="J63" s="143">
        <f>SUM(J64:J68)</f>
        <v>2.1891027777777778</v>
      </c>
      <c r="K63" s="143">
        <f>SUM(K64:K68)</f>
        <v>0</v>
      </c>
      <c r="L63" s="142"/>
      <c r="M63" s="52"/>
      <c r="P63" s="115">
        <v>330</v>
      </c>
    </row>
    <row r="64" spans="3:16" s="140" customFormat="1" ht="12.75">
      <c r="C64" s="141"/>
      <c r="D64" s="113" t="s">
        <v>485</v>
      </c>
      <c r="E64" s="144"/>
      <c r="F64" s="84" t="s">
        <v>243</v>
      </c>
      <c r="G64" s="145"/>
      <c r="H64" s="145"/>
      <c r="I64" s="145"/>
      <c r="J64" s="145"/>
      <c r="K64" s="145"/>
      <c r="L64" s="142"/>
      <c r="M64" s="52"/>
      <c r="P64" s="115"/>
    </row>
    <row r="65" spans="3:16" s="140" customFormat="1" ht="14.25">
      <c r="C65" s="121" t="s">
        <v>0</v>
      </c>
      <c r="D65" s="146" t="s">
        <v>1876</v>
      </c>
      <c r="E65" s="82" t="s">
        <v>2047</v>
      </c>
      <c r="F65" s="79">
        <v>1461</v>
      </c>
      <c r="G65" s="147">
        <f>SUM(H65:K65)</f>
        <v>9.9312472222222219</v>
      </c>
      <c r="H65" s="148">
        <f>H25/720</f>
        <v>1.3606611111111111</v>
      </c>
      <c r="I65" s="148">
        <f>I25/720</f>
        <v>6.9266027777777781</v>
      </c>
      <c r="J65" s="148">
        <f>J25/720</f>
        <v>1.6439833333333331</v>
      </c>
      <c r="K65" s="148"/>
      <c r="L65" s="142"/>
      <c r="M65" s="85" t="s">
        <v>1842</v>
      </c>
      <c r="N65" s="86" t="s">
        <v>1438</v>
      </c>
      <c r="O65" s="86" t="s">
        <v>1841</v>
      </c>
    </row>
    <row r="66" spans="3:16" s="140" customFormat="1" ht="14.25">
      <c r="C66" s="121" t="s">
        <v>0</v>
      </c>
      <c r="D66" s="146" t="s">
        <v>2073</v>
      </c>
      <c r="E66" s="82" t="s">
        <v>1467</v>
      </c>
      <c r="F66" s="79">
        <v>1462</v>
      </c>
      <c r="G66" s="147">
        <f>SUM(H66:K66)</f>
        <v>0.42178611111111108</v>
      </c>
      <c r="H66" s="148"/>
      <c r="I66" s="148"/>
      <c r="J66" s="148">
        <f>J26/720</f>
        <v>0.42178611111111108</v>
      </c>
      <c r="K66" s="149"/>
      <c r="L66" s="142"/>
      <c r="M66" s="85" t="s">
        <v>1468</v>
      </c>
      <c r="N66" s="86" t="s">
        <v>1438</v>
      </c>
      <c r="O66" s="86" t="s">
        <v>1466</v>
      </c>
    </row>
    <row r="67" spans="3:16" s="140" customFormat="1" ht="14.25">
      <c r="C67" s="121" t="s">
        <v>0</v>
      </c>
      <c r="D67" s="146" t="s">
        <v>2138</v>
      </c>
      <c r="E67" s="82" t="s">
        <v>1713</v>
      </c>
      <c r="F67" s="79">
        <v>1463</v>
      </c>
      <c r="G67" s="147">
        <f>SUM(H67:K67)</f>
        <v>0.12333333333333332</v>
      </c>
      <c r="H67" s="148"/>
      <c r="I67" s="148"/>
      <c r="J67" s="148">
        <f>J27/720</f>
        <v>0.12333333333333332</v>
      </c>
      <c r="K67" s="149"/>
      <c r="L67" s="142"/>
      <c r="M67" s="85" t="s">
        <v>1714</v>
      </c>
      <c r="N67" s="86" t="s">
        <v>1446</v>
      </c>
      <c r="O67" s="86" t="s">
        <v>1712</v>
      </c>
    </row>
    <row r="68" spans="3:16" s="140" customFormat="1" ht="12.75">
      <c r="C68" s="141"/>
      <c r="D68" s="108"/>
      <c r="E68" s="104" t="s">
        <v>334</v>
      </c>
      <c r="F68" s="73"/>
      <c r="G68" s="73"/>
      <c r="H68" s="73"/>
      <c r="I68" s="73"/>
      <c r="J68" s="73"/>
      <c r="K68" s="74"/>
      <c r="L68" s="142"/>
      <c r="M68" s="52"/>
      <c r="P68" s="115"/>
    </row>
    <row r="69" spans="3:16" s="140" customFormat="1" ht="12.75">
      <c r="C69" s="141"/>
      <c r="D69" s="106" t="s">
        <v>398</v>
      </c>
      <c r="E69" s="88" t="s">
        <v>157</v>
      </c>
      <c r="F69" s="68" t="s">
        <v>244</v>
      </c>
      <c r="G69" s="143">
        <f t="shared" si="0"/>
        <v>4.002463888888891</v>
      </c>
      <c r="H69" s="143">
        <f>H71+H72+H73</f>
        <v>0</v>
      </c>
      <c r="I69" s="143">
        <f>I70+I72+I73</f>
        <v>0</v>
      </c>
      <c r="J69" s="143">
        <f>J70+J71+J73</f>
        <v>2.5311458333333343</v>
      </c>
      <c r="K69" s="143">
        <f>K70+K71+K72</f>
        <v>1.4713180555555565</v>
      </c>
      <c r="L69" s="142"/>
      <c r="M69" s="52"/>
      <c r="P69" s="115">
        <v>340</v>
      </c>
    </row>
    <row r="70" spans="3:16" s="140" customFormat="1" ht="12.75">
      <c r="C70" s="141"/>
      <c r="D70" s="106" t="s">
        <v>399</v>
      </c>
      <c r="E70" s="67" t="s">
        <v>134</v>
      </c>
      <c r="F70" s="68" t="s">
        <v>245</v>
      </c>
      <c r="G70" s="143">
        <f t="shared" si="0"/>
        <v>1.3582041666666667</v>
      </c>
      <c r="H70" s="150"/>
      <c r="I70" s="122"/>
      <c r="J70" s="122">
        <f>J30/720</f>
        <v>1.3582041666666667</v>
      </c>
      <c r="K70" s="122"/>
      <c r="L70" s="142"/>
      <c r="M70" s="52"/>
      <c r="P70" s="115">
        <v>350</v>
      </c>
    </row>
    <row r="71" spans="3:16" s="140" customFormat="1" ht="12.75">
      <c r="C71" s="141"/>
      <c r="D71" s="106" t="s">
        <v>400</v>
      </c>
      <c r="E71" s="67" t="s">
        <v>135</v>
      </c>
      <c r="F71" s="68" t="s">
        <v>246</v>
      </c>
      <c r="G71" s="143">
        <f t="shared" si="0"/>
        <v>1.1729416666666674</v>
      </c>
      <c r="H71" s="122"/>
      <c r="I71" s="151"/>
      <c r="J71" s="122">
        <f>J31/720</f>
        <v>1.1729416666666674</v>
      </c>
      <c r="K71" s="122"/>
      <c r="L71" s="142"/>
      <c r="M71" s="52"/>
      <c r="P71" s="115">
        <v>360</v>
      </c>
    </row>
    <row r="72" spans="3:16" s="140" customFormat="1" ht="12.75">
      <c r="C72" s="141"/>
      <c r="D72" s="106" t="s">
        <v>401</v>
      </c>
      <c r="E72" s="67" t="s">
        <v>136</v>
      </c>
      <c r="F72" s="68" t="s">
        <v>247</v>
      </c>
      <c r="G72" s="143">
        <f t="shared" si="0"/>
        <v>1.4713180555555565</v>
      </c>
      <c r="H72" s="122"/>
      <c r="I72" s="122"/>
      <c r="J72" s="150"/>
      <c r="K72" s="122">
        <f>K32/720</f>
        <v>1.4713180555555565</v>
      </c>
      <c r="L72" s="142"/>
      <c r="M72" s="52"/>
      <c r="P72" s="115">
        <v>370</v>
      </c>
    </row>
    <row r="73" spans="3:16" s="140" customFormat="1" ht="12.75">
      <c r="C73" s="141"/>
      <c r="D73" s="106" t="s">
        <v>402</v>
      </c>
      <c r="E73" s="67" t="s">
        <v>158</v>
      </c>
      <c r="F73" s="68" t="s">
        <v>248</v>
      </c>
      <c r="G73" s="143">
        <f t="shared" si="0"/>
        <v>0</v>
      </c>
      <c r="H73" s="122"/>
      <c r="I73" s="122"/>
      <c r="J73" s="122"/>
      <c r="K73" s="150"/>
      <c r="L73" s="142"/>
      <c r="M73" s="52"/>
      <c r="P73" s="115">
        <v>380</v>
      </c>
    </row>
    <row r="74" spans="3:16" s="140" customFormat="1" ht="12.75">
      <c r="C74" s="141"/>
      <c r="D74" s="106" t="s">
        <v>403</v>
      </c>
      <c r="E74" s="89" t="s">
        <v>161</v>
      </c>
      <c r="F74" s="68" t="s">
        <v>249</v>
      </c>
      <c r="G74" s="143">
        <f t="shared" si="0"/>
        <v>0</v>
      </c>
      <c r="H74" s="122"/>
      <c r="I74" s="122"/>
      <c r="J74" s="122"/>
      <c r="K74" s="122"/>
      <c r="L74" s="142"/>
      <c r="M74" s="52"/>
      <c r="P74" s="115"/>
    </row>
    <row r="75" spans="3:16" s="140" customFormat="1" ht="12.75">
      <c r="C75" s="141"/>
      <c r="D75" s="106" t="s">
        <v>404</v>
      </c>
      <c r="E75" s="88" t="s">
        <v>502</v>
      </c>
      <c r="F75" s="109" t="s">
        <v>250</v>
      </c>
      <c r="G75" s="143">
        <f t="shared" si="0"/>
        <v>10.376045833333333</v>
      </c>
      <c r="H75" s="143">
        <f>H76+H78+H81+H85</f>
        <v>0</v>
      </c>
      <c r="I75" s="143">
        <f>I76+I78+I81+I85</f>
        <v>5.6760972222222223</v>
      </c>
      <c r="J75" s="143">
        <f>J76+J78+J81+J85</f>
        <v>3.2291402777777782</v>
      </c>
      <c r="K75" s="143">
        <f>K76+K78+K81+K85</f>
        <v>1.4708083333333333</v>
      </c>
      <c r="L75" s="142"/>
      <c r="M75" s="52"/>
      <c r="P75" s="115">
        <v>390</v>
      </c>
    </row>
    <row r="76" spans="3:16" s="140" customFormat="1" ht="22.5">
      <c r="C76" s="141"/>
      <c r="D76" s="106" t="s">
        <v>405</v>
      </c>
      <c r="E76" s="67" t="s">
        <v>503</v>
      </c>
      <c r="F76" s="68" t="s">
        <v>251</v>
      </c>
      <c r="G76" s="143">
        <f t="shared" si="0"/>
        <v>0</v>
      </c>
      <c r="H76" s="122"/>
      <c r="I76" s="122"/>
      <c r="J76" s="122"/>
      <c r="K76" s="122"/>
      <c r="L76" s="142"/>
      <c r="M76" s="52"/>
      <c r="P76" s="115"/>
    </row>
    <row r="77" spans="3:16" s="140" customFormat="1" ht="12.75">
      <c r="C77" s="141"/>
      <c r="D77" s="106" t="s">
        <v>489</v>
      </c>
      <c r="E77" s="69" t="s">
        <v>476</v>
      </c>
      <c r="F77" s="68" t="s">
        <v>252</v>
      </c>
      <c r="G77" s="143">
        <f t="shared" si="0"/>
        <v>0</v>
      </c>
      <c r="H77" s="122"/>
      <c r="I77" s="122"/>
      <c r="J77" s="122"/>
      <c r="K77" s="122"/>
      <c r="L77" s="142"/>
      <c r="M77" s="52"/>
      <c r="P77" s="115"/>
    </row>
    <row r="78" spans="3:16" s="140" customFormat="1" ht="12.75">
      <c r="C78" s="141"/>
      <c r="D78" s="106" t="s">
        <v>406</v>
      </c>
      <c r="E78" s="67" t="s">
        <v>221</v>
      </c>
      <c r="F78" s="68" t="s">
        <v>253</v>
      </c>
      <c r="G78" s="143">
        <f t="shared" si="0"/>
        <v>5.6617375000000001</v>
      </c>
      <c r="H78" s="122">
        <f>H38/720</f>
        <v>0</v>
      </c>
      <c r="I78" s="122">
        <f>I38/720</f>
        <v>0.96178888888888869</v>
      </c>
      <c r="J78" s="122">
        <f>J38/720</f>
        <v>3.2291402777777782</v>
      </c>
      <c r="K78" s="122">
        <f>K38/720</f>
        <v>1.4708083333333333</v>
      </c>
      <c r="L78" s="142"/>
      <c r="M78" s="52"/>
      <c r="P78" s="115"/>
    </row>
    <row r="79" spans="3:16" s="140" customFormat="1" ht="12.75">
      <c r="C79" s="141"/>
      <c r="D79" s="106" t="s">
        <v>490</v>
      </c>
      <c r="E79" s="69" t="s">
        <v>504</v>
      </c>
      <c r="F79" s="68" t="s">
        <v>254</v>
      </c>
      <c r="G79" s="143">
        <f t="shared" si="0"/>
        <v>0</v>
      </c>
      <c r="H79" s="122"/>
      <c r="I79" s="122"/>
      <c r="J79" s="122"/>
      <c r="K79" s="122"/>
      <c r="L79" s="142"/>
      <c r="M79" s="52"/>
      <c r="P79" s="115"/>
    </row>
    <row r="80" spans="3:16" s="140" customFormat="1" ht="12.75">
      <c r="C80" s="141"/>
      <c r="D80" s="106" t="s">
        <v>491</v>
      </c>
      <c r="E80" s="71" t="s">
        <v>476</v>
      </c>
      <c r="F80" s="68" t="s">
        <v>255</v>
      </c>
      <c r="G80" s="143">
        <f t="shared" si="0"/>
        <v>0</v>
      </c>
      <c r="H80" s="122"/>
      <c r="I80" s="122"/>
      <c r="J80" s="122"/>
      <c r="K80" s="122"/>
      <c r="L80" s="142"/>
      <c r="M80" s="52"/>
      <c r="P80" s="115"/>
    </row>
    <row r="81" spans="3:16" s="140" customFormat="1" ht="12.75">
      <c r="C81" s="141"/>
      <c r="D81" s="106" t="s">
        <v>407</v>
      </c>
      <c r="E81" s="67" t="s">
        <v>505</v>
      </c>
      <c r="F81" s="68" t="s">
        <v>256</v>
      </c>
      <c r="G81" s="143">
        <f t="shared" si="0"/>
        <v>4.7143083333333333</v>
      </c>
      <c r="H81" s="143">
        <f>SUM(H82:H84)</f>
        <v>0</v>
      </c>
      <c r="I81" s="143">
        <f>SUM(I82:I84)</f>
        <v>4.7143083333333333</v>
      </c>
      <c r="J81" s="143">
        <f>SUM(J82:J84)</f>
        <v>0</v>
      </c>
      <c r="K81" s="143">
        <f>SUM(K82:K84)</f>
        <v>0</v>
      </c>
      <c r="L81" s="142"/>
      <c r="M81" s="52"/>
      <c r="P81" s="115"/>
    </row>
    <row r="82" spans="3:16" s="140" customFormat="1" ht="12.75">
      <c r="C82" s="141"/>
      <c r="D82" s="113" t="s">
        <v>497</v>
      </c>
      <c r="E82" s="144"/>
      <c r="F82" s="84" t="s">
        <v>256</v>
      </c>
      <c r="G82" s="145"/>
      <c r="H82" s="145"/>
      <c r="I82" s="145"/>
      <c r="J82" s="145"/>
      <c r="K82" s="145"/>
      <c r="L82" s="142"/>
      <c r="M82" s="52"/>
      <c r="P82" s="115"/>
    </row>
    <row r="83" spans="3:16" s="140" customFormat="1" ht="14.25">
      <c r="C83" s="121" t="s">
        <v>0</v>
      </c>
      <c r="D83" s="146" t="s">
        <v>1877</v>
      </c>
      <c r="E83" s="82" t="s">
        <v>1467</v>
      </c>
      <c r="F83" s="79">
        <v>1781</v>
      </c>
      <c r="G83" s="147">
        <f>SUM(H83:K83)</f>
        <v>4.7143083333333333</v>
      </c>
      <c r="H83" s="148"/>
      <c r="I83" s="148">
        <f>I43/720</f>
        <v>4.7143083333333333</v>
      </c>
      <c r="J83" s="148"/>
      <c r="K83" s="149"/>
      <c r="L83" s="142"/>
      <c r="M83" s="85" t="s">
        <v>1468</v>
      </c>
      <c r="N83" s="86" t="s">
        <v>1451</v>
      </c>
      <c r="O83" s="86" t="s">
        <v>1466</v>
      </c>
    </row>
    <row r="84" spans="3:16" s="140" customFormat="1" ht="12.75">
      <c r="C84" s="141"/>
      <c r="D84" s="108"/>
      <c r="E84" s="104" t="s">
        <v>334</v>
      </c>
      <c r="F84" s="73"/>
      <c r="G84" s="73"/>
      <c r="H84" s="73"/>
      <c r="I84" s="73"/>
      <c r="J84" s="73"/>
      <c r="K84" s="74"/>
      <c r="L84" s="142"/>
      <c r="M84" s="52"/>
      <c r="P84" s="115"/>
    </row>
    <row r="85" spans="3:16" s="140" customFormat="1" ht="12.75">
      <c r="C85" s="141"/>
      <c r="D85" s="106" t="s">
        <v>408</v>
      </c>
      <c r="E85" s="105" t="s">
        <v>477</v>
      </c>
      <c r="F85" s="68" t="s">
        <v>257</v>
      </c>
      <c r="G85" s="143">
        <f t="shared" si="0"/>
        <v>0</v>
      </c>
      <c r="H85" s="122"/>
      <c r="I85" s="122"/>
      <c r="J85" s="122"/>
      <c r="K85" s="122"/>
      <c r="L85" s="142"/>
      <c r="M85" s="52"/>
      <c r="P85" s="115">
        <v>410</v>
      </c>
    </row>
    <row r="86" spans="3:16" s="140" customFormat="1" ht="12.75">
      <c r="C86" s="141"/>
      <c r="D86" s="106" t="s">
        <v>409</v>
      </c>
      <c r="E86" s="88" t="s">
        <v>159</v>
      </c>
      <c r="F86" s="68" t="s">
        <v>258</v>
      </c>
      <c r="G86" s="143">
        <f t="shared" si="0"/>
        <v>4.002463888888891</v>
      </c>
      <c r="H86" s="122">
        <f>H46/720</f>
        <v>1.3582041666666667</v>
      </c>
      <c r="I86" s="122">
        <f>I46/720</f>
        <v>1.1729416666666674</v>
      </c>
      <c r="J86" s="122">
        <f>J46/720</f>
        <v>1.4713180555555561</v>
      </c>
      <c r="K86" s="122">
        <f>K46/720</f>
        <v>8.9434632539248719E-16</v>
      </c>
      <c r="L86" s="142"/>
      <c r="M86" s="52"/>
      <c r="P86" s="115">
        <v>440</v>
      </c>
    </row>
    <row r="87" spans="3:16" s="140" customFormat="1" ht="12.75">
      <c r="C87" s="141"/>
      <c r="D87" s="106" t="s">
        <v>410</v>
      </c>
      <c r="E87" s="88" t="s">
        <v>160</v>
      </c>
      <c r="F87" s="68" t="s">
        <v>259</v>
      </c>
      <c r="G87" s="143">
        <f t="shared" si="0"/>
        <v>0</v>
      </c>
      <c r="H87" s="122"/>
      <c r="I87" s="122"/>
      <c r="J87" s="122"/>
      <c r="K87" s="122"/>
      <c r="L87" s="142"/>
      <c r="M87" s="52"/>
      <c r="P87" s="115">
        <v>450</v>
      </c>
    </row>
    <row r="88" spans="3:16" s="140" customFormat="1" ht="12.75">
      <c r="C88" s="141"/>
      <c r="D88" s="106" t="s">
        <v>411</v>
      </c>
      <c r="E88" s="88" t="s">
        <v>162</v>
      </c>
      <c r="F88" s="68" t="s">
        <v>260</v>
      </c>
      <c r="G88" s="143">
        <f t="shared" si="0"/>
        <v>0</v>
      </c>
      <c r="H88" s="122"/>
      <c r="I88" s="122"/>
      <c r="J88" s="122"/>
      <c r="K88" s="122"/>
      <c r="L88" s="142"/>
      <c r="M88" s="52"/>
      <c r="P88" s="115">
        <v>470</v>
      </c>
    </row>
    <row r="89" spans="3:16" s="140" customFormat="1" ht="12.75">
      <c r="C89" s="141"/>
      <c r="D89" s="106" t="s">
        <v>412</v>
      </c>
      <c r="E89" s="88" t="s">
        <v>473</v>
      </c>
      <c r="F89" s="68" t="s">
        <v>261</v>
      </c>
      <c r="G89" s="143">
        <f t="shared" si="0"/>
        <v>0.10032083333333333</v>
      </c>
      <c r="H89" s="122">
        <f>H49/720</f>
        <v>2.4569444444444443E-3</v>
      </c>
      <c r="I89" s="122">
        <f>I49/720</f>
        <v>7.7563888888888891E-2</v>
      </c>
      <c r="J89" s="122">
        <f>J49/720</f>
        <v>1.9790277777777778E-2</v>
      </c>
      <c r="K89" s="122">
        <f>K49/720</f>
        <v>5.0972222222222217E-4</v>
      </c>
      <c r="L89" s="142"/>
      <c r="M89" s="52"/>
      <c r="P89" s="115">
        <v>480</v>
      </c>
    </row>
    <row r="90" spans="3:16" s="140" customFormat="1" ht="12.75">
      <c r="C90" s="141"/>
      <c r="D90" s="106" t="s">
        <v>413</v>
      </c>
      <c r="E90" s="67" t="s">
        <v>233</v>
      </c>
      <c r="F90" s="68" t="s">
        <v>262</v>
      </c>
      <c r="G90" s="143">
        <f t="shared" si="0"/>
        <v>0</v>
      </c>
      <c r="H90" s="122"/>
      <c r="I90" s="122"/>
      <c r="J90" s="122"/>
      <c r="K90" s="122"/>
      <c r="L90" s="142"/>
      <c r="M90" s="52"/>
      <c r="P90" s="115">
        <v>490</v>
      </c>
    </row>
    <row r="91" spans="3:16" s="140" customFormat="1" ht="22.5">
      <c r="C91" s="141"/>
      <c r="D91" s="106" t="s">
        <v>414</v>
      </c>
      <c r="E91" s="88" t="s">
        <v>417</v>
      </c>
      <c r="F91" s="68" t="s">
        <v>263</v>
      </c>
      <c r="G91" s="143">
        <f t="shared" si="0"/>
        <v>0.20712361111111111</v>
      </c>
      <c r="H91" s="122"/>
      <c r="I91" s="122">
        <f>I51/720</f>
        <v>5.3388181999999992E-2</v>
      </c>
      <c r="J91" s="122">
        <f>J51/720</f>
        <v>7.7141117722222222E-2</v>
      </c>
      <c r="K91" s="122">
        <f>K51/720</f>
        <v>7.6594311388888892E-2</v>
      </c>
      <c r="L91" s="142"/>
      <c r="M91" s="52"/>
      <c r="P91" s="115"/>
    </row>
    <row r="92" spans="3:16" s="140" customFormat="1" ht="33.75">
      <c r="C92" s="141"/>
      <c r="D92" s="106" t="s">
        <v>415</v>
      </c>
      <c r="E92" s="89" t="s">
        <v>236</v>
      </c>
      <c r="F92" s="68" t="s">
        <v>264</v>
      </c>
      <c r="G92" s="143">
        <f t="shared" si="0"/>
        <v>-0.10680277777777777</v>
      </c>
      <c r="H92" s="143">
        <f>H89-H91</f>
        <v>2.4569444444444443E-3</v>
      </c>
      <c r="I92" s="143">
        <f>I89-I91</f>
        <v>2.4175706888888898E-2</v>
      </c>
      <c r="J92" s="143">
        <f>J89-J91</f>
        <v>-5.735083994444444E-2</v>
      </c>
      <c r="K92" s="143">
        <f>K89-K91</f>
        <v>-7.6084589166666675E-2</v>
      </c>
      <c r="L92" s="142"/>
      <c r="M92" s="52"/>
      <c r="P92" s="115"/>
    </row>
    <row r="93" spans="3:16" s="140" customFormat="1" ht="12.75">
      <c r="C93" s="141"/>
      <c r="D93" s="106" t="s">
        <v>416</v>
      </c>
      <c r="E93" s="88" t="s">
        <v>163</v>
      </c>
      <c r="F93" s="68" t="s">
        <v>265</v>
      </c>
      <c r="G93" s="143">
        <f t="shared" si="0"/>
        <v>0</v>
      </c>
      <c r="H93" s="143">
        <f>(H55+H69+H74)-(H75+H86+H87+H88+H89)</f>
        <v>0</v>
      </c>
      <c r="I93" s="143">
        <f>(I55+I69+I74)-(I75+I86+I87+I88+I89)</f>
        <v>0</v>
      </c>
      <c r="J93" s="143">
        <f>(J55+J69+J74)-(J75+J86+J87+J88+J89)</f>
        <v>0</v>
      </c>
      <c r="K93" s="143">
        <f>(K55+K69+K74)-(K75+K86+K87+K88+K89)</f>
        <v>0</v>
      </c>
      <c r="L93" s="142"/>
      <c r="M93" s="52"/>
      <c r="P93" s="115">
        <v>500</v>
      </c>
    </row>
    <row r="94" spans="3:16" s="140" customFormat="1" ht="12.75">
      <c r="C94" s="141"/>
      <c r="D94" s="174" t="s">
        <v>202</v>
      </c>
      <c r="E94" s="175"/>
      <c r="F94" s="175"/>
      <c r="G94" s="175"/>
      <c r="H94" s="175"/>
      <c r="I94" s="175"/>
      <c r="J94" s="175"/>
      <c r="K94" s="176"/>
      <c r="L94" s="142"/>
      <c r="M94" s="52"/>
      <c r="P94" s="116"/>
    </row>
    <row r="95" spans="3:16" s="140" customFormat="1" ht="12.75">
      <c r="C95" s="141"/>
      <c r="D95" s="106" t="s">
        <v>418</v>
      </c>
      <c r="E95" s="88" t="s">
        <v>164</v>
      </c>
      <c r="F95" s="68" t="s">
        <v>266</v>
      </c>
      <c r="G95" s="143">
        <f t="shared" si="0"/>
        <v>0</v>
      </c>
      <c r="H95" s="122"/>
      <c r="I95" s="122"/>
      <c r="J95" s="122"/>
      <c r="K95" s="122"/>
      <c r="L95" s="142"/>
      <c r="M95" s="52"/>
      <c r="P95" s="115">
        <v>600</v>
      </c>
    </row>
    <row r="96" spans="3:16" s="140" customFormat="1" ht="12.75">
      <c r="C96" s="141"/>
      <c r="D96" s="106" t="s">
        <v>419</v>
      </c>
      <c r="E96" s="88" t="s">
        <v>165</v>
      </c>
      <c r="F96" s="68" t="s">
        <v>267</v>
      </c>
      <c r="G96" s="143">
        <f t="shared" si="0"/>
        <v>56.423000000000002</v>
      </c>
      <c r="H96" s="122"/>
      <c r="I96" s="122">
        <v>56.423000000000002</v>
      </c>
      <c r="J96" s="122"/>
      <c r="K96" s="122"/>
      <c r="L96" s="142"/>
      <c r="M96" s="52"/>
      <c r="P96" s="115">
        <v>610</v>
      </c>
    </row>
    <row r="97" spans="3:16" s="140" customFormat="1" ht="12.75">
      <c r="C97" s="141"/>
      <c r="D97" s="106" t="s">
        <v>420</v>
      </c>
      <c r="E97" s="88" t="s">
        <v>166</v>
      </c>
      <c r="F97" s="68" t="s">
        <v>268</v>
      </c>
      <c r="G97" s="143">
        <f t="shared" si="0"/>
        <v>0</v>
      </c>
      <c r="H97" s="122"/>
      <c r="I97" s="122"/>
      <c r="J97" s="122"/>
      <c r="K97" s="122"/>
      <c r="L97" s="142"/>
      <c r="M97" s="52"/>
      <c r="P97" s="115">
        <v>620</v>
      </c>
    </row>
    <row r="98" spans="3:16" s="140" customFormat="1" ht="12.75">
      <c r="C98" s="141"/>
      <c r="D98" s="174" t="s">
        <v>209</v>
      </c>
      <c r="E98" s="175"/>
      <c r="F98" s="175"/>
      <c r="G98" s="175"/>
      <c r="H98" s="175"/>
      <c r="I98" s="175"/>
      <c r="J98" s="175"/>
      <c r="K98" s="176"/>
      <c r="L98" s="142"/>
      <c r="M98" s="52"/>
      <c r="P98" s="116"/>
    </row>
    <row r="99" spans="3:16" s="140" customFormat="1" ht="12.75">
      <c r="C99" s="141"/>
      <c r="D99" s="106" t="s">
        <v>421</v>
      </c>
      <c r="E99" s="88" t="s">
        <v>506</v>
      </c>
      <c r="F99" s="68" t="s">
        <v>269</v>
      </c>
      <c r="G99" s="143">
        <f t="shared" si="0"/>
        <v>0</v>
      </c>
      <c r="H99" s="143">
        <f>SUM(H100:H101)</f>
        <v>0</v>
      </c>
      <c r="I99" s="143">
        <f>SUM(I100:I101)</f>
        <v>0</v>
      </c>
      <c r="J99" s="143">
        <f>SUM(J100:J101)</f>
        <v>0</v>
      </c>
      <c r="K99" s="143">
        <f>SUM(K100:K101)</f>
        <v>0</v>
      </c>
      <c r="L99" s="142"/>
      <c r="M99" s="52"/>
      <c r="P99" s="115">
        <v>700</v>
      </c>
    </row>
    <row r="100" spans="3:16" ht="12.75">
      <c r="C100" s="130"/>
      <c r="D100" s="107" t="s">
        <v>422</v>
      </c>
      <c r="E100" s="67" t="s">
        <v>167</v>
      </c>
      <c r="F100" s="68" t="s">
        <v>270</v>
      </c>
      <c r="G100" s="143">
        <f t="shared" si="0"/>
        <v>0</v>
      </c>
      <c r="H100" s="152"/>
      <c r="I100" s="152"/>
      <c r="J100" s="152"/>
      <c r="K100" s="152"/>
      <c r="L100" s="137"/>
      <c r="M100" s="52"/>
      <c r="P100" s="115">
        <v>710</v>
      </c>
    </row>
    <row r="101" spans="3:16" ht="12.75">
      <c r="C101" s="130"/>
      <c r="D101" s="107" t="s">
        <v>423</v>
      </c>
      <c r="E101" s="67" t="s">
        <v>507</v>
      </c>
      <c r="F101" s="68" t="s">
        <v>271</v>
      </c>
      <c r="G101" s="143">
        <f t="shared" si="0"/>
        <v>0</v>
      </c>
      <c r="H101" s="153">
        <f>H104</f>
        <v>0</v>
      </c>
      <c r="I101" s="153">
        <f>I104</f>
        <v>0</v>
      </c>
      <c r="J101" s="153">
        <f>J104</f>
        <v>0</v>
      </c>
      <c r="K101" s="153">
        <f>K104</f>
        <v>0</v>
      </c>
      <c r="L101" s="137"/>
      <c r="M101" s="52"/>
      <c r="P101" s="115">
        <v>720</v>
      </c>
    </row>
    <row r="102" spans="3:16" ht="12.75">
      <c r="C102" s="130"/>
      <c r="D102" s="107" t="s">
        <v>424</v>
      </c>
      <c r="E102" s="69" t="s">
        <v>508</v>
      </c>
      <c r="F102" s="68" t="s">
        <v>273</v>
      </c>
      <c r="G102" s="143">
        <f t="shared" si="0"/>
        <v>0</v>
      </c>
      <c r="H102" s="152"/>
      <c r="I102" s="152"/>
      <c r="J102" s="152"/>
      <c r="K102" s="152"/>
      <c r="L102" s="137"/>
      <c r="M102" s="52"/>
      <c r="P102" s="115">
        <v>730</v>
      </c>
    </row>
    <row r="103" spans="3:16" ht="12.75">
      <c r="C103" s="130"/>
      <c r="D103" s="107" t="s">
        <v>425</v>
      </c>
      <c r="E103" s="71" t="s">
        <v>509</v>
      </c>
      <c r="F103" s="68" t="s">
        <v>274</v>
      </c>
      <c r="G103" s="143">
        <f t="shared" si="0"/>
        <v>0</v>
      </c>
      <c r="H103" s="152"/>
      <c r="I103" s="152"/>
      <c r="J103" s="152"/>
      <c r="K103" s="152"/>
      <c r="L103" s="137"/>
      <c r="M103" s="52"/>
      <c r="P103" s="115"/>
    </row>
    <row r="104" spans="3:16" ht="12.75">
      <c r="C104" s="130"/>
      <c r="D104" s="107" t="s">
        <v>426</v>
      </c>
      <c r="E104" s="69" t="s">
        <v>478</v>
      </c>
      <c r="F104" s="68" t="s">
        <v>275</v>
      </c>
      <c r="G104" s="143">
        <f t="shared" si="0"/>
        <v>0</v>
      </c>
      <c r="H104" s="152"/>
      <c r="I104" s="152"/>
      <c r="J104" s="152"/>
      <c r="K104" s="152"/>
      <c r="L104" s="137"/>
      <c r="M104" s="52"/>
      <c r="P104" s="115">
        <v>740</v>
      </c>
    </row>
    <row r="105" spans="3:16" ht="12.75">
      <c r="C105" s="130"/>
      <c r="D105" s="107" t="s">
        <v>427</v>
      </c>
      <c r="E105" s="88" t="s">
        <v>510</v>
      </c>
      <c r="F105" s="68" t="s">
        <v>277</v>
      </c>
      <c r="G105" s="143">
        <f t="shared" si="0"/>
        <v>0</v>
      </c>
      <c r="H105" s="153">
        <f>H106+H122</f>
        <v>0</v>
      </c>
      <c r="I105" s="153">
        <f>I106+I122</f>
        <v>0</v>
      </c>
      <c r="J105" s="153">
        <f>J106+J122</f>
        <v>0</v>
      </c>
      <c r="K105" s="153">
        <f>K106+K122</f>
        <v>0</v>
      </c>
      <c r="L105" s="137"/>
      <c r="M105" s="52"/>
      <c r="P105" s="115">
        <v>750</v>
      </c>
    </row>
    <row r="106" spans="3:16" ht="12.75">
      <c r="C106" s="130"/>
      <c r="D106" s="107" t="s">
        <v>428</v>
      </c>
      <c r="E106" s="67" t="s">
        <v>279</v>
      </c>
      <c r="F106" s="68" t="s">
        <v>278</v>
      </c>
      <c r="G106" s="143">
        <f t="shared" si="0"/>
        <v>0</v>
      </c>
      <c r="H106" s="153">
        <f>H107+H108</f>
        <v>0</v>
      </c>
      <c r="I106" s="153">
        <f>I107+I108</f>
        <v>0</v>
      </c>
      <c r="J106" s="153">
        <f>J107+J108</f>
        <v>0</v>
      </c>
      <c r="K106" s="153">
        <f>K107+K108</f>
        <v>0</v>
      </c>
      <c r="L106" s="137"/>
      <c r="M106" s="52"/>
      <c r="P106" s="115">
        <v>760</v>
      </c>
    </row>
    <row r="107" spans="3:16" ht="12.75">
      <c r="C107" s="130"/>
      <c r="D107" s="107" t="s">
        <v>429</v>
      </c>
      <c r="E107" s="69" t="s">
        <v>222</v>
      </c>
      <c r="F107" s="68" t="s">
        <v>280</v>
      </c>
      <c r="G107" s="143">
        <f t="shared" si="0"/>
        <v>0</v>
      </c>
      <c r="H107" s="152"/>
      <c r="I107" s="152"/>
      <c r="J107" s="152"/>
      <c r="K107" s="152"/>
      <c r="L107" s="137"/>
      <c r="M107" s="52"/>
      <c r="P107" s="115"/>
    </row>
    <row r="108" spans="3:16" ht="12.75">
      <c r="C108" s="130"/>
      <c r="D108" s="107" t="s">
        <v>430</v>
      </c>
      <c r="E108" s="69" t="s">
        <v>511</v>
      </c>
      <c r="F108" s="68" t="s">
        <v>281</v>
      </c>
      <c r="G108" s="143">
        <f t="shared" si="0"/>
        <v>0</v>
      </c>
      <c r="H108" s="153">
        <f>H109+H112+H115+H118+H119+H120+H121</f>
        <v>0</v>
      </c>
      <c r="I108" s="153">
        <f>I109+I112+I115+I118+I119+I120+I121</f>
        <v>0</v>
      </c>
      <c r="J108" s="153">
        <f>J109+J112+J115+J118+J119+J120+J121</f>
        <v>0</v>
      </c>
      <c r="K108" s="153">
        <f>K109+K112+K115+K118+K119+K120+K121</f>
        <v>0</v>
      </c>
      <c r="L108" s="137"/>
      <c r="M108" s="52"/>
      <c r="P108" s="115"/>
    </row>
    <row r="109" spans="3:16" ht="45">
      <c r="C109" s="130"/>
      <c r="D109" s="107" t="s">
        <v>431</v>
      </c>
      <c r="E109" s="71" t="s">
        <v>512</v>
      </c>
      <c r="F109" s="68" t="s">
        <v>282</v>
      </c>
      <c r="G109" s="143">
        <f t="shared" si="0"/>
        <v>0</v>
      </c>
      <c r="H109" s="154">
        <f>H110+H111</f>
        <v>0</v>
      </c>
      <c r="I109" s="154">
        <f>I110+I111</f>
        <v>0</v>
      </c>
      <c r="J109" s="154">
        <f>J110+J111</f>
        <v>0</v>
      </c>
      <c r="K109" s="154">
        <f>K110+K111</f>
        <v>0</v>
      </c>
      <c r="L109" s="137"/>
      <c r="M109" s="52"/>
      <c r="P109" s="115"/>
    </row>
    <row r="110" spans="3:16" ht="12.75">
      <c r="C110" s="130"/>
      <c r="D110" s="107" t="s">
        <v>433</v>
      </c>
      <c r="E110" s="72" t="s">
        <v>283</v>
      </c>
      <c r="F110" s="68" t="s">
        <v>284</v>
      </c>
      <c r="G110" s="143">
        <f t="shared" si="0"/>
        <v>0</v>
      </c>
      <c r="H110" s="152"/>
      <c r="I110" s="152"/>
      <c r="J110" s="152"/>
      <c r="K110" s="152"/>
      <c r="L110" s="137"/>
      <c r="M110" s="52"/>
      <c r="P110" s="115"/>
    </row>
    <row r="111" spans="3:16" ht="12.75">
      <c r="C111" s="130"/>
      <c r="D111" s="107" t="s">
        <v>434</v>
      </c>
      <c r="E111" s="72" t="s">
        <v>285</v>
      </c>
      <c r="F111" s="68" t="s">
        <v>286</v>
      </c>
      <c r="G111" s="143">
        <f t="shared" si="0"/>
        <v>0</v>
      </c>
      <c r="H111" s="152"/>
      <c r="I111" s="152"/>
      <c r="J111" s="152"/>
      <c r="K111" s="152"/>
      <c r="L111" s="137"/>
      <c r="M111" s="52"/>
      <c r="P111" s="115"/>
    </row>
    <row r="112" spans="3:16" ht="45">
      <c r="C112" s="130"/>
      <c r="D112" s="107" t="s">
        <v>432</v>
      </c>
      <c r="E112" s="71" t="s">
        <v>513</v>
      </c>
      <c r="F112" s="68" t="s">
        <v>287</v>
      </c>
      <c r="G112" s="143">
        <f t="shared" si="0"/>
        <v>0</v>
      </c>
      <c r="H112" s="154">
        <f>H113+H114</f>
        <v>0</v>
      </c>
      <c r="I112" s="154">
        <f>I113+I114</f>
        <v>0</v>
      </c>
      <c r="J112" s="154">
        <f>J113+J114</f>
        <v>0</v>
      </c>
      <c r="K112" s="154">
        <f>K113+K114</f>
        <v>0</v>
      </c>
      <c r="L112" s="137"/>
      <c r="M112" s="52"/>
      <c r="P112" s="115"/>
    </row>
    <row r="113" spans="3:16" ht="12.75">
      <c r="C113" s="130"/>
      <c r="D113" s="107" t="s">
        <v>435</v>
      </c>
      <c r="E113" s="72" t="s">
        <v>283</v>
      </c>
      <c r="F113" s="68" t="s">
        <v>288</v>
      </c>
      <c r="G113" s="143">
        <f t="shared" si="0"/>
        <v>0</v>
      </c>
      <c r="H113" s="152"/>
      <c r="I113" s="152"/>
      <c r="J113" s="152"/>
      <c r="K113" s="152"/>
      <c r="L113" s="137"/>
      <c r="M113" s="52"/>
      <c r="P113" s="115"/>
    </row>
    <row r="114" spans="3:16" ht="12.75">
      <c r="C114" s="130"/>
      <c r="D114" s="107" t="s">
        <v>436</v>
      </c>
      <c r="E114" s="72" t="s">
        <v>285</v>
      </c>
      <c r="F114" s="68" t="s">
        <v>289</v>
      </c>
      <c r="G114" s="143">
        <f t="shared" si="0"/>
        <v>0</v>
      </c>
      <c r="H114" s="152"/>
      <c r="I114" s="152"/>
      <c r="J114" s="152"/>
      <c r="K114" s="152"/>
      <c r="L114" s="137"/>
      <c r="M114" s="52"/>
      <c r="P114" s="115"/>
    </row>
    <row r="115" spans="3:16" ht="22.5">
      <c r="C115" s="130"/>
      <c r="D115" s="107" t="s">
        <v>437</v>
      </c>
      <c r="E115" s="71" t="s">
        <v>514</v>
      </c>
      <c r="F115" s="68" t="s">
        <v>290</v>
      </c>
      <c r="G115" s="143">
        <f t="shared" si="0"/>
        <v>0</v>
      </c>
      <c r="H115" s="154">
        <f>H116+H117</f>
        <v>0</v>
      </c>
      <c r="I115" s="154">
        <f>I116+I117</f>
        <v>0</v>
      </c>
      <c r="J115" s="154">
        <f>J116+J117</f>
        <v>0</v>
      </c>
      <c r="K115" s="154">
        <f>K116+K117</f>
        <v>0</v>
      </c>
      <c r="L115" s="137"/>
      <c r="M115" s="52"/>
      <c r="P115" s="115"/>
    </row>
    <row r="116" spans="3:16" ht="12.75">
      <c r="C116" s="130"/>
      <c r="D116" s="107" t="s">
        <v>438</v>
      </c>
      <c r="E116" s="72" t="s">
        <v>283</v>
      </c>
      <c r="F116" s="68" t="s">
        <v>291</v>
      </c>
      <c r="G116" s="143">
        <f t="shared" si="0"/>
        <v>0</v>
      </c>
      <c r="H116" s="152"/>
      <c r="I116" s="152"/>
      <c r="J116" s="152"/>
      <c r="K116" s="152"/>
      <c r="L116" s="137"/>
      <c r="M116" s="52"/>
      <c r="P116" s="115"/>
    </row>
    <row r="117" spans="3:16" ht="12.75">
      <c r="C117" s="130"/>
      <c r="D117" s="107" t="s">
        <v>439</v>
      </c>
      <c r="E117" s="72" t="s">
        <v>285</v>
      </c>
      <c r="F117" s="68" t="s">
        <v>292</v>
      </c>
      <c r="G117" s="143">
        <f t="shared" si="0"/>
        <v>0</v>
      </c>
      <c r="H117" s="152"/>
      <c r="I117" s="152"/>
      <c r="J117" s="152"/>
      <c r="K117" s="152"/>
      <c r="L117" s="137"/>
      <c r="M117" s="52"/>
      <c r="P117" s="115"/>
    </row>
    <row r="118" spans="3:16" ht="22.5">
      <c r="C118" s="130"/>
      <c r="D118" s="107" t="s">
        <v>440</v>
      </c>
      <c r="E118" s="71" t="s">
        <v>293</v>
      </c>
      <c r="F118" s="68" t="s">
        <v>294</v>
      </c>
      <c r="G118" s="143">
        <f t="shared" si="0"/>
        <v>0</v>
      </c>
      <c r="H118" s="152"/>
      <c r="I118" s="152"/>
      <c r="J118" s="152"/>
      <c r="K118" s="152"/>
      <c r="L118" s="137"/>
      <c r="M118" s="52"/>
      <c r="P118" s="115"/>
    </row>
    <row r="119" spans="3:16" ht="12.75">
      <c r="C119" s="130"/>
      <c r="D119" s="107" t="s">
        <v>441</v>
      </c>
      <c r="E119" s="71" t="s">
        <v>295</v>
      </c>
      <c r="F119" s="68" t="s">
        <v>296</v>
      </c>
      <c r="G119" s="143">
        <f t="shared" si="0"/>
        <v>0</v>
      </c>
      <c r="H119" s="152"/>
      <c r="I119" s="152"/>
      <c r="J119" s="152"/>
      <c r="K119" s="152"/>
      <c r="L119" s="137"/>
      <c r="M119" s="52"/>
      <c r="P119" s="115"/>
    </row>
    <row r="120" spans="3:16" ht="45">
      <c r="C120" s="130"/>
      <c r="D120" s="107" t="s">
        <v>442</v>
      </c>
      <c r="E120" s="71" t="s">
        <v>479</v>
      </c>
      <c r="F120" s="68" t="s">
        <v>297</v>
      </c>
      <c r="G120" s="143">
        <f t="shared" si="0"/>
        <v>0</v>
      </c>
      <c r="H120" s="152"/>
      <c r="I120" s="152"/>
      <c r="J120" s="152"/>
      <c r="K120" s="152"/>
      <c r="L120" s="137"/>
      <c r="M120" s="52"/>
      <c r="P120" s="115"/>
    </row>
    <row r="121" spans="3:16" ht="22.5">
      <c r="C121" s="130"/>
      <c r="D121" s="107" t="s">
        <v>443</v>
      </c>
      <c r="E121" s="71" t="s">
        <v>298</v>
      </c>
      <c r="F121" s="68" t="s">
        <v>299</v>
      </c>
      <c r="G121" s="143">
        <f t="shared" si="0"/>
        <v>0</v>
      </c>
      <c r="H121" s="152"/>
      <c r="I121" s="152"/>
      <c r="J121" s="152"/>
      <c r="K121" s="152"/>
      <c r="L121" s="137"/>
      <c r="M121" s="52"/>
      <c r="P121" s="115"/>
    </row>
    <row r="122" spans="3:16" ht="12.75">
      <c r="C122" s="130"/>
      <c r="D122" s="107" t="s">
        <v>444</v>
      </c>
      <c r="E122" s="67" t="s">
        <v>515</v>
      </c>
      <c r="F122" s="68" t="s">
        <v>300</v>
      </c>
      <c r="G122" s="143">
        <f t="shared" si="0"/>
        <v>0</v>
      </c>
      <c r="H122" s="153">
        <f>H125</f>
        <v>0</v>
      </c>
      <c r="I122" s="153">
        <f>I125</f>
        <v>0</v>
      </c>
      <c r="J122" s="153">
        <f>J125</f>
        <v>0</v>
      </c>
      <c r="K122" s="153">
        <f>K125</f>
        <v>0</v>
      </c>
      <c r="L122" s="137"/>
      <c r="M122" s="52"/>
      <c r="P122" s="115">
        <v>770</v>
      </c>
    </row>
    <row r="123" spans="3:16" ht="12.75">
      <c r="C123" s="130"/>
      <c r="D123" s="107" t="s">
        <v>445</v>
      </c>
      <c r="E123" s="69" t="s">
        <v>508</v>
      </c>
      <c r="F123" s="68" t="s">
        <v>301</v>
      </c>
      <c r="G123" s="143">
        <f t="shared" si="0"/>
        <v>0</v>
      </c>
      <c r="H123" s="152"/>
      <c r="I123" s="152"/>
      <c r="J123" s="152"/>
      <c r="K123" s="152"/>
      <c r="L123" s="137"/>
      <c r="M123" s="52"/>
      <c r="P123" s="115">
        <v>780</v>
      </c>
    </row>
    <row r="124" spans="3:16" ht="12.75">
      <c r="C124" s="130"/>
      <c r="D124" s="107" t="s">
        <v>446</v>
      </c>
      <c r="E124" s="71" t="s">
        <v>516</v>
      </c>
      <c r="F124" s="68" t="s">
        <v>302</v>
      </c>
      <c r="G124" s="143">
        <f t="shared" si="0"/>
        <v>0</v>
      </c>
      <c r="H124" s="152"/>
      <c r="I124" s="152"/>
      <c r="J124" s="152"/>
      <c r="K124" s="152"/>
      <c r="L124" s="137"/>
      <c r="M124" s="52"/>
      <c r="P124" s="115"/>
    </row>
    <row r="125" spans="3:16" ht="12.75">
      <c r="C125" s="130"/>
      <c r="D125" s="107" t="s">
        <v>447</v>
      </c>
      <c r="E125" s="69" t="s">
        <v>478</v>
      </c>
      <c r="F125" s="68" t="s">
        <v>303</v>
      </c>
      <c r="G125" s="143">
        <f t="shared" si="0"/>
        <v>0</v>
      </c>
      <c r="H125" s="152"/>
      <c r="I125" s="152"/>
      <c r="J125" s="152"/>
      <c r="K125" s="152"/>
      <c r="L125" s="137"/>
      <c r="M125" s="52"/>
      <c r="P125" s="115">
        <v>790</v>
      </c>
    </row>
    <row r="126" spans="3:16" ht="22.5">
      <c r="C126" s="130"/>
      <c r="D126" s="107" t="s">
        <v>448</v>
      </c>
      <c r="E126" s="89" t="s">
        <v>517</v>
      </c>
      <c r="F126" s="68" t="s">
        <v>304</v>
      </c>
      <c r="G126" s="143">
        <f t="shared" si="0"/>
        <v>7542.9840000000013</v>
      </c>
      <c r="H126" s="153">
        <f>SUM(H127:H128)</f>
        <v>1.7689999999999999</v>
      </c>
      <c r="I126" s="153">
        <f>SUM(I127:I128)</f>
        <v>4147.2380000000003</v>
      </c>
      <c r="J126" s="153">
        <f>SUM(J127:J128)</f>
        <v>2334.9950000000008</v>
      </c>
      <c r="K126" s="153">
        <f>SUM(K127:K128)</f>
        <v>1058.982</v>
      </c>
      <c r="L126" s="137"/>
      <c r="M126" s="52"/>
      <c r="P126" s="115"/>
    </row>
    <row r="127" spans="3:16" ht="12.75">
      <c r="C127" s="130"/>
      <c r="D127" s="107" t="s">
        <v>449</v>
      </c>
      <c r="E127" s="67" t="s">
        <v>167</v>
      </c>
      <c r="F127" s="68" t="s">
        <v>305</v>
      </c>
      <c r="G127" s="143">
        <f t="shared" si="0"/>
        <v>0</v>
      </c>
      <c r="H127" s="152"/>
      <c r="I127" s="152"/>
      <c r="J127" s="152"/>
      <c r="K127" s="152"/>
      <c r="L127" s="137"/>
      <c r="M127" s="52"/>
      <c r="P127" s="115"/>
    </row>
    <row r="128" spans="3:16" ht="12.75">
      <c r="C128" s="130"/>
      <c r="D128" s="107" t="s">
        <v>450</v>
      </c>
      <c r="E128" s="67" t="s">
        <v>507</v>
      </c>
      <c r="F128" s="68" t="s">
        <v>306</v>
      </c>
      <c r="G128" s="143">
        <f t="shared" si="0"/>
        <v>7542.9840000000013</v>
      </c>
      <c r="H128" s="153">
        <f>H130</f>
        <v>1.7689999999999999</v>
      </c>
      <c r="I128" s="153">
        <f>I130</f>
        <v>4147.2380000000003</v>
      </c>
      <c r="J128" s="153">
        <f>J130</f>
        <v>2334.9950000000008</v>
      </c>
      <c r="K128" s="153">
        <f>K130</f>
        <v>1058.982</v>
      </c>
      <c r="L128" s="137"/>
      <c r="M128" s="52"/>
      <c r="P128" s="115"/>
    </row>
    <row r="129" spans="3:16" ht="12.75">
      <c r="C129" s="130"/>
      <c r="D129" s="107" t="s">
        <v>451</v>
      </c>
      <c r="E129" s="69" t="s">
        <v>272</v>
      </c>
      <c r="F129" s="68" t="s">
        <v>307</v>
      </c>
      <c r="G129" s="143">
        <f t="shared" si="0"/>
        <v>56.423000000000002</v>
      </c>
      <c r="H129" s="152"/>
      <c r="I129" s="152">
        <f>I96</f>
        <v>56.423000000000002</v>
      </c>
      <c r="J129" s="152"/>
      <c r="K129" s="152"/>
      <c r="L129" s="137"/>
      <c r="M129" s="52"/>
      <c r="P129" s="115"/>
    </row>
    <row r="130" spans="3:16" ht="12.75">
      <c r="C130" s="130"/>
      <c r="D130" s="107" t="s">
        <v>452</v>
      </c>
      <c r="E130" s="69" t="s">
        <v>478</v>
      </c>
      <c r="F130" s="68" t="s">
        <v>308</v>
      </c>
      <c r="G130" s="143">
        <f t="shared" si="0"/>
        <v>7542.9840000000013</v>
      </c>
      <c r="H130" s="152">
        <f>H49+H35</f>
        <v>1.7689999999999999</v>
      </c>
      <c r="I130" s="152">
        <f>I35+60.448</f>
        <v>4147.2380000000003</v>
      </c>
      <c r="J130" s="152">
        <f>J35+3.329+0.001+6.684</f>
        <v>2334.9950000000008</v>
      </c>
      <c r="K130" s="152">
        <f>K35</f>
        <v>1058.982</v>
      </c>
      <c r="L130" s="137"/>
      <c r="M130" s="52"/>
      <c r="P130" s="115"/>
    </row>
    <row r="131" spans="3:16" ht="12.75">
      <c r="C131" s="130"/>
      <c r="D131" s="174" t="s">
        <v>203</v>
      </c>
      <c r="E131" s="175"/>
      <c r="F131" s="175"/>
      <c r="G131" s="175"/>
      <c r="H131" s="175"/>
      <c r="I131" s="175"/>
      <c r="J131" s="175"/>
      <c r="K131" s="176"/>
      <c r="L131" s="137"/>
      <c r="M131" s="52"/>
      <c r="P131" s="117"/>
    </row>
    <row r="132" spans="3:16" ht="22.5">
      <c r="C132" s="130"/>
      <c r="D132" s="107" t="s">
        <v>453</v>
      </c>
      <c r="E132" s="88" t="s">
        <v>518</v>
      </c>
      <c r="F132" s="68" t="s">
        <v>309</v>
      </c>
      <c r="G132" s="143">
        <f t="shared" si="0"/>
        <v>0</v>
      </c>
      <c r="H132" s="153">
        <f>SUM( H133:H134)</f>
        <v>0</v>
      </c>
      <c r="I132" s="153">
        <f>SUM( I133:I134)</f>
        <v>0</v>
      </c>
      <c r="J132" s="153">
        <f>SUM( J133:J134)</f>
        <v>0</v>
      </c>
      <c r="K132" s="153">
        <f>SUM( K133:K134)</f>
        <v>0</v>
      </c>
      <c r="L132" s="137"/>
      <c r="M132" s="52"/>
      <c r="P132" s="115">
        <v>800</v>
      </c>
    </row>
    <row r="133" spans="3:16" ht="12.75">
      <c r="C133" s="130"/>
      <c r="D133" s="107" t="s">
        <v>454</v>
      </c>
      <c r="E133" s="67" t="s">
        <v>167</v>
      </c>
      <c r="F133" s="68" t="s">
        <v>310</v>
      </c>
      <c r="G133" s="143">
        <f t="shared" si="0"/>
        <v>0</v>
      </c>
      <c r="H133" s="152"/>
      <c r="I133" s="152"/>
      <c r="J133" s="152"/>
      <c r="K133" s="152"/>
      <c r="L133" s="137"/>
      <c r="M133" s="52"/>
      <c r="P133" s="115">
        <v>810</v>
      </c>
    </row>
    <row r="134" spans="3:16" ht="12.75">
      <c r="C134" s="130"/>
      <c r="D134" s="107" t="s">
        <v>455</v>
      </c>
      <c r="E134" s="67" t="s">
        <v>507</v>
      </c>
      <c r="F134" s="68" t="s">
        <v>311</v>
      </c>
      <c r="G134" s="143">
        <f t="shared" si="0"/>
        <v>0</v>
      </c>
      <c r="H134" s="153">
        <f>H135+H137</f>
        <v>0</v>
      </c>
      <c r="I134" s="153">
        <f>I135+I137</f>
        <v>0</v>
      </c>
      <c r="J134" s="153">
        <f>J135+J137</f>
        <v>0</v>
      </c>
      <c r="K134" s="153">
        <f>K135+K137</f>
        <v>0</v>
      </c>
      <c r="L134" s="137"/>
      <c r="M134" s="52"/>
      <c r="P134" s="115">
        <v>820</v>
      </c>
    </row>
    <row r="135" spans="3:16" ht="12.75">
      <c r="C135" s="130"/>
      <c r="D135" s="107" t="s">
        <v>456</v>
      </c>
      <c r="E135" s="69" t="s">
        <v>519</v>
      </c>
      <c r="F135" s="68" t="s">
        <v>312</v>
      </c>
      <c r="G135" s="143">
        <f t="shared" si="0"/>
        <v>0</v>
      </c>
      <c r="H135" s="152"/>
      <c r="I135" s="152"/>
      <c r="J135" s="152"/>
      <c r="K135" s="152"/>
      <c r="L135" s="137"/>
      <c r="M135" s="52"/>
      <c r="P135" s="115">
        <v>830</v>
      </c>
    </row>
    <row r="136" spans="3:16" ht="12.75">
      <c r="C136" s="130"/>
      <c r="D136" s="107" t="s">
        <v>457</v>
      </c>
      <c r="E136" s="71" t="s">
        <v>520</v>
      </c>
      <c r="F136" s="68" t="s">
        <v>313</v>
      </c>
      <c r="G136" s="143">
        <f t="shared" si="0"/>
        <v>0</v>
      </c>
      <c r="H136" s="152"/>
      <c r="I136" s="152"/>
      <c r="J136" s="152"/>
      <c r="K136" s="152"/>
      <c r="L136" s="137"/>
      <c r="M136" s="52"/>
      <c r="P136" s="117"/>
    </row>
    <row r="137" spans="3:16" ht="12.75">
      <c r="C137" s="130"/>
      <c r="D137" s="107" t="s">
        <v>458</v>
      </c>
      <c r="E137" s="69" t="s">
        <v>169</v>
      </c>
      <c r="F137" s="68" t="s">
        <v>314</v>
      </c>
      <c r="G137" s="143">
        <f t="shared" si="0"/>
        <v>0</v>
      </c>
      <c r="H137" s="152"/>
      <c r="I137" s="152"/>
      <c r="J137" s="152"/>
      <c r="K137" s="152"/>
      <c r="L137" s="137"/>
      <c r="M137" s="52"/>
      <c r="P137" s="115">
        <v>840</v>
      </c>
    </row>
    <row r="138" spans="3:16" ht="12.75">
      <c r="C138" s="130"/>
      <c r="D138" s="107" t="s">
        <v>336</v>
      </c>
      <c r="E138" s="88" t="s">
        <v>521</v>
      </c>
      <c r="F138" s="68" t="s">
        <v>315</v>
      </c>
      <c r="G138" s="143">
        <f t="shared" si="0"/>
        <v>0</v>
      </c>
      <c r="H138" s="154">
        <f>SUM( H139+H144)</f>
        <v>0</v>
      </c>
      <c r="I138" s="154">
        <f>SUM( I139+I144)</f>
        <v>0</v>
      </c>
      <c r="J138" s="154">
        <f>SUM( J139+J144)</f>
        <v>0</v>
      </c>
      <c r="K138" s="154">
        <f>SUM( K139+K144)</f>
        <v>0</v>
      </c>
      <c r="L138" s="155"/>
      <c r="M138" s="52"/>
      <c r="P138" s="115">
        <v>850</v>
      </c>
    </row>
    <row r="139" spans="3:16" ht="12.75">
      <c r="C139" s="130"/>
      <c r="D139" s="107" t="s">
        <v>459</v>
      </c>
      <c r="E139" s="67" t="s">
        <v>167</v>
      </c>
      <c r="F139" s="68" t="s">
        <v>316</v>
      </c>
      <c r="G139" s="143">
        <f t="shared" ref="G139:G152" si="1">SUM(H139:K139)</f>
        <v>0</v>
      </c>
      <c r="H139" s="154">
        <f>SUM( H140:H141)</f>
        <v>0</v>
      </c>
      <c r="I139" s="154">
        <f>SUM( I140:I141)</f>
        <v>0</v>
      </c>
      <c r="J139" s="154">
        <f>SUM( J140:J141)</f>
        <v>0</v>
      </c>
      <c r="K139" s="154">
        <f>SUM( K140:K141)</f>
        <v>0</v>
      </c>
      <c r="L139" s="155"/>
      <c r="M139" s="52"/>
      <c r="P139" s="115">
        <v>860</v>
      </c>
    </row>
    <row r="140" spans="3:16" ht="12.75">
      <c r="C140" s="130"/>
      <c r="D140" s="107" t="s">
        <v>460</v>
      </c>
      <c r="E140" s="69" t="s">
        <v>222</v>
      </c>
      <c r="F140" s="68" t="s">
        <v>317</v>
      </c>
      <c r="G140" s="143">
        <f t="shared" si="1"/>
        <v>0</v>
      </c>
      <c r="H140" s="156"/>
      <c r="I140" s="156"/>
      <c r="J140" s="156"/>
      <c r="K140" s="156"/>
      <c r="L140" s="155"/>
      <c r="M140" s="52"/>
      <c r="P140" s="115"/>
    </row>
    <row r="141" spans="3:16" ht="12.75">
      <c r="C141" s="130"/>
      <c r="D141" s="107" t="s">
        <v>461</v>
      </c>
      <c r="E141" s="69" t="s">
        <v>511</v>
      </c>
      <c r="F141" s="68" t="s">
        <v>318</v>
      </c>
      <c r="G141" s="143">
        <f t="shared" si="1"/>
        <v>0</v>
      </c>
      <c r="H141" s="154">
        <f>H142+H143</f>
        <v>0</v>
      </c>
      <c r="I141" s="154">
        <f>I142+I143</f>
        <v>0</v>
      </c>
      <c r="J141" s="154">
        <f>J142+J143</f>
        <v>0</v>
      </c>
      <c r="K141" s="154">
        <f>K142+K143</f>
        <v>0</v>
      </c>
      <c r="L141" s="155"/>
      <c r="M141" s="52"/>
      <c r="P141" s="115"/>
    </row>
    <row r="142" spans="3:16" ht="12.75">
      <c r="C142" s="130"/>
      <c r="D142" s="107" t="s">
        <v>462</v>
      </c>
      <c r="E142" s="71" t="s">
        <v>283</v>
      </c>
      <c r="F142" s="68" t="s">
        <v>319</v>
      </c>
      <c r="G142" s="143">
        <f t="shared" si="1"/>
        <v>0</v>
      </c>
      <c r="H142" s="156"/>
      <c r="I142" s="156"/>
      <c r="J142" s="156"/>
      <c r="K142" s="156"/>
      <c r="L142" s="155"/>
      <c r="M142" s="52"/>
      <c r="P142" s="115"/>
    </row>
    <row r="143" spans="3:16" ht="12.75">
      <c r="C143" s="130"/>
      <c r="D143" s="107" t="s">
        <v>463</v>
      </c>
      <c r="E143" s="71" t="s">
        <v>320</v>
      </c>
      <c r="F143" s="68" t="s">
        <v>321</v>
      </c>
      <c r="G143" s="143">
        <f t="shared" si="1"/>
        <v>0</v>
      </c>
      <c r="H143" s="156"/>
      <c r="I143" s="156"/>
      <c r="J143" s="156"/>
      <c r="K143" s="156"/>
      <c r="L143" s="155"/>
      <c r="M143" s="52"/>
      <c r="P143" s="115"/>
    </row>
    <row r="144" spans="3:16" ht="12.75">
      <c r="C144" s="130"/>
      <c r="D144" s="107" t="s">
        <v>464</v>
      </c>
      <c r="E144" s="67" t="s">
        <v>515</v>
      </c>
      <c r="F144" s="68" t="s">
        <v>322</v>
      </c>
      <c r="G144" s="143">
        <f t="shared" si="1"/>
        <v>0</v>
      </c>
      <c r="H144" s="154">
        <f>H145+H147</f>
        <v>0</v>
      </c>
      <c r="I144" s="154">
        <f>I145+I147</f>
        <v>0</v>
      </c>
      <c r="J144" s="154">
        <f>J145+J147</f>
        <v>0</v>
      </c>
      <c r="K144" s="154">
        <f>K145+K147</f>
        <v>0</v>
      </c>
      <c r="L144" s="155"/>
      <c r="M144" s="52"/>
      <c r="P144" s="115">
        <v>870</v>
      </c>
    </row>
    <row r="145" spans="3:19" ht="12.75">
      <c r="C145" s="130"/>
      <c r="D145" s="107" t="s">
        <v>465</v>
      </c>
      <c r="E145" s="69" t="s">
        <v>519</v>
      </c>
      <c r="F145" s="68" t="s">
        <v>323</v>
      </c>
      <c r="G145" s="143">
        <f t="shared" si="1"/>
        <v>0</v>
      </c>
      <c r="H145" s="152"/>
      <c r="I145" s="152"/>
      <c r="J145" s="152"/>
      <c r="K145" s="152"/>
      <c r="L145" s="155"/>
      <c r="M145" s="52"/>
      <c r="P145" s="115">
        <v>880</v>
      </c>
    </row>
    <row r="146" spans="3:19" ht="12.75">
      <c r="C146" s="130"/>
      <c r="D146" s="107" t="s">
        <v>466</v>
      </c>
      <c r="E146" s="71" t="s">
        <v>520</v>
      </c>
      <c r="F146" s="68" t="s">
        <v>324</v>
      </c>
      <c r="G146" s="143">
        <f t="shared" si="1"/>
        <v>0</v>
      </c>
      <c r="H146" s="152"/>
      <c r="I146" s="152"/>
      <c r="J146" s="152"/>
      <c r="K146" s="152"/>
      <c r="L146" s="155"/>
      <c r="M146" s="52"/>
      <c r="P146" s="115"/>
    </row>
    <row r="147" spans="3:19" ht="12.75">
      <c r="C147" s="130"/>
      <c r="D147" s="107" t="s">
        <v>467</v>
      </c>
      <c r="E147" s="69" t="s">
        <v>169</v>
      </c>
      <c r="F147" s="68" t="s">
        <v>325</v>
      </c>
      <c r="G147" s="143">
        <f t="shared" si="1"/>
        <v>0</v>
      </c>
      <c r="H147" s="157"/>
      <c r="I147" s="157"/>
      <c r="J147" s="157"/>
      <c r="K147" s="157"/>
      <c r="L147" s="155"/>
      <c r="M147" s="52"/>
      <c r="P147" s="115">
        <v>890</v>
      </c>
    </row>
    <row r="148" spans="3:19" ht="22.5">
      <c r="C148" s="130"/>
      <c r="D148" s="107" t="s">
        <v>468</v>
      </c>
      <c r="E148" s="88" t="s">
        <v>522</v>
      </c>
      <c r="F148" s="68" t="s">
        <v>326</v>
      </c>
      <c r="G148" s="143">
        <f t="shared" si="1"/>
        <v>4246.2145677359995</v>
      </c>
      <c r="H148" s="158">
        <f>SUM( H149:H150)</f>
        <v>0.17364503999999997</v>
      </c>
      <c r="I148" s="158">
        <f>SUM( I149:I150)</f>
        <v>3912.8881403760001</v>
      </c>
      <c r="J148" s="158">
        <f>SUM( J149:J150)</f>
        <v>229.20310920000009</v>
      </c>
      <c r="K148" s="158">
        <f>SUM( K149:K150)</f>
        <v>103.94967312</v>
      </c>
      <c r="L148" s="155"/>
      <c r="M148" s="52"/>
      <c r="P148" s="115">
        <v>900</v>
      </c>
    </row>
    <row r="149" spans="3:19" ht="12.75">
      <c r="C149" s="130"/>
      <c r="D149" s="107" t="s">
        <v>469</v>
      </c>
      <c r="E149" s="67" t="s">
        <v>167</v>
      </c>
      <c r="F149" s="68" t="s">
        <v>327</v>
      </c>
      <c r="G149" s="143">
        <f t="shared" si="1"/>
        <v>0</v>
      </c>
      <c r="H149" s="157"/>
      <c r="I149" s="157"/>
      <c r="J149" s="157"/>
      <c r="K149" s="157"/>
      <c r="L149" s="155"/>
      <c r="M149" s="52"/>
      <c r="P149" s="115"/>
    </row>
    <row r="150" spans="3:19" ht="12.75">
      <c r="C150" s="130"/>
      <c r="D150" s="107" t="s">
        <v>470</v>
      </c>
      <c r="E150" s="67" t="s">
        <v>507</v>
      </c>
      <c r="F150" s="68" t="s">
        <v>328</v>
      </c>
      <c r="G150" s="143">
        <f t="shared" si="1"/>
        <v>4246.2145677359995</v>
      </c>
      <c r="H150" s="158">
        <f>H151+H152</f>
        <v>0.17364503999999997</v>
      </c>
      <c r="I150" s="158">
        <f>I151+I152</f>
        <v>3912.8881403760001</v>
      </c>
      <c r="J150" s="158">
        <f>J151+J152</f>
        <v>229.20310920000009</v>
      </c>
      <c r="K150" s="158">
        <f>K151+K152</f>
        <v>103.94967312</v>
      </c>
      <c r="L150" s="155"/>
      <c r="M150" s="52"/>
      <c r="P150" s="115"/>
    </row>
    <row r="151" spans="3:19" ht="12.75">
      <c r="C151" s="130"/>
      <c r="D151" s="107" t="s">
        <v>471</v>
      </c>
      <c r="E151" s="69" t="s">
        <v>168</v>
      </c>
      <c r="F151" s="68" t="s">
        <v>331</v>
      </c>
      <c r="G151" s="143">
        <f t="shared" si="1"/>
        <v>3505.7952582960002</v>
      </c>
      <c r="H151" s="157"/>
      <c r="I151" s="157">
        <f>I129*51778.46/1000*1.2</f>
        <v>3505.7952582960002</v>
      </c>
      <c r="J151" s="157"/>
      <c r="K151" s="157"/>
      <c r="L151" s="155"/>
      <c r="M151" s="52"/>
      <c r="P151" s="115" t="s">
        <v>329</v>
      </c>
    </row>
    <row r="152" spans="3:19" ht="12.75">
      <c r="C152" s="130"/>
      <c r="D152" s="107" t="s">
        <v>472</v>
      </c>
      <c r="E152" s="69" t="s">
        <v>169</v>
      </c>
      <c r="F152" s="68" t="s">
        <v>332</v>
      </c>
      <c r="G152" s="143">
        <f t="shared" si="1"/>
        <v>740.41930944000001</v>
      </c>
      <c r="H152" s="157">
        <f>H130*81.8/1000*1.2</f>
        <v>0.17364503999999997</v>
      </c>
      <c r="I152" s="157">
        <f>I130*81.8/1000*1.2</f>
        <v>407.09288207999998</v>
      </c>
      <c r="J152" s="157">
        <f>J130*81.8/1000*1.2</f>
        <v>229.20310920000009</v>
      </c>
      <c r="K152" s="157">
        <f>K130*81.8/1000*1.2</f>
        <v>103.94967312</v>
      </c>
      <c r="L152" s="155"/>
      <c r="M152" s="52"/>
      <c r="P152" s="115" t="s">
        <v>330</v>
      </c>
    </row>
    <row r="153" spans="3:19">
      <c r="D153" s="135"/>
      <c r="E153" s="159"/>
      <c r="F153" s="159"/>
      <c r="G153" s="159"/>
      <c r="H153" s="159"/>
      <c r="I153" s="159"/>
      <c r="J153" s="159"/>
      <c r="K153" s="160"/>
      <c r="L153" s="160"/>
      <c r="M153" s="160"/>
      <c r="N153" s="160"/>
      <c r="O153" s="160"/>
      <c r="P153" s="160"/>
      <c r="Q153" s="160"/>
      <c r="R153" s="161"/>
      <c r="S153" s="161"/>
    </row>
    <row r="154" spans="3:19" ht="12.75">
      <c r="E154" s="52" t="s">
        <v>204</v>
      </c>
      <c r="F154" s="180" t="str">
        <f>IF([8]Титульный!G45="","",[8]Титульный!G45)</f>
        <v>ведущий экономист</v>
      </c>
      <c r="G154" s="180"/>
      <c r="H154" s="53"/>
      <c r="I154" s="180" t="str">
        <f>IF([8]Титульный!G44="","",[8]Титульный!G44)</f>
        <v>Кривнева Е.В.</v>
      </c>
      <c r="J154" s="180"/>
      <c r="K154" s="180"/>
      <c r="L154" s="53"/>
      <c r="M154" s="55"/>
      <c r="N154" s="55"/>
      <c r="O154" s="54"/>
      <c r="P154" s="160"/>
      <c r="Q154" s="160"/>
      <c r="R154" s="161"/>
      <c r="S154" s="161"/>
    </row>
    <row r="155" spans="3:19" ht="12.75">
      <c r="E155" s="56" t="s">
        <v>205</v>
      </c>
      <c r="F155" s="181" t="s">
        <v>176</v>
      </c>
      <c r="G155" s="181"/>
      <c r="H155" s="54"/>
      <c r="I155" s="181" t="s">
        <v>174</v>
      </c>
      <c r="J155" s="181"/>
      <c r="K155" s="181"/>
      <c r="L155" s="54"/>
      <c r="M155" s="181" t="s">
        <v>175</v>
      </c>
      <c r="N155" s="181"/>
      <c r="O155" s="52"/>
      <c r="P155" s="160"/>
      <c r="Q155" s="160"/>
      <c r="R155" s="161"/>
      <c r="S155" s="161"/>
    </row>
    <row r="156" spans="3:19" ht="12.75">
      <c r="E156" s="56" t="s">
        <v>206</v>
      </c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160"/>
      <c r="Q156" s="160"/>
      <c r="R156" s="161"/>
      <c r="S156" s="161"/>
    </row>
    <row r="157" spans="3:19" ht="12.75">
      <c r="E157" s="56" t="s">
        <v>207</v>
      </c>
      <c r="F157" s="180" t="str">
        <f>IF([8]Титульный!G46="","",[8]Титульный!G46)</f>
        <v>(861) 258-50-71</v>
      </c>
      <c r="G157" s="180"/>
      <c r="H157" s="180"/>
      <c r="I157" s="52"/>
      <c r="J157" s="56" t="s">
        <v>177</v>
      </c>
      <c r="K157" s="169"/>
      <c r="L157" s="52"/>
      <c r="M157" s="52"/>
      <c r="N157" s="52"/>
      <c r="O157" s="52"/>
      <c r="P157" s="160"/>
      <c r="Q157" s="160"/>
      <c r="R157" s="161"/>
      <c r="S157" s="161"/>
    </row>
    <row r="158" spans="3:19" ht="12.75">
      <c r="E158" s="52" t="s">
        <v>208</v>
      </c>
      <c r="F158" s="182" t="s">
        <v>178</v>
      </c>
      <c r="G158" s="182"/>
      <c r="H158" s="182"/>
      <c r="I158" s="52"/>
      <c r="J158" s="57" t="s">
        <v>179</v>
      </c>
      <c r="K158" s="57"/>
      <c r="L158" s="52"/>
      <c r="M158" s="52"/>
      <c r="N158" s="52"/>
      <c r="O158" s="52"/>
      <c r="P158" s="160"/>
      <c r="Q158" s="160"/>
      <c r="R158" s="161"/>
      <c r="S158" s="161"/>
    </row>
    <row r="159" spans="3:19"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1"/>
      <c r="S159" s="161"/>
    </row>
    <row r="160" spans="3:19"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1"/>
      <c r="S160" s="161"/>
    </row>
    <row r="161" spans="5:19"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1"/>
      <c r="S161" s="161"/>
    </row>
    <row r="162" spans="5:19"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1"/>
      <c r="S162" s="161"/>
    </row>
    <row r="163" spans="5:19"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1"/>
      <c r="S163" s="161"/>
    </row>
    <row r="164" spans="5:19"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1"/>
      <c r="S164" s="161"/>
    </row>
    <row r="165" spans="5:19">
      <c r="E165" s="160"/>
      <c r="F165" s="160"/>
      <c r="G165" s="160"/>
      <c r="H165" s="160"/>
      <c r="I165" s="160"/>
      <c r="J165" s="160"/>
      <c r="K165" s="160"/>
      <c r="L165" s="160"/>
      <c r="M165" s="160"/>
      <c r="N165" s="160"/>
      <c r="O165" s="160"/>
      <c r="P165" s="160"/>
      <c r="Q165" s="160"/>
      <c r="R165" s="161"/>
      <c r="S165" s="161"/>
    </row>
    <row r="166" spans="5:19">
      <c r="E166" s="160"/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1"/>
      <c r="S166" s="161"/>
    </row>
    <row r="167" spans="5:19"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1"/>
      <c r="S167" s="161"/>
    </row>
    <row r="168" spans="5:19"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1"/>
      <c r="S168" s="161"/>
    </row>
    <row r="169" spans="5:19"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1"/>
      <c r="S169" s="161"/>
    </row>
    <row r="170" spans="5:19"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1"/>
      <c r="S170" s="161"/>
    </row>
    <row r="171" spans="5:19"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1"/>
      <c r="S171" s="161"/>
    </row>
    <row r="172" spans="5:19"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1"/>
      <c r="S172" s="161"/>
    </row>
    <row r="173" spans="5:19"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1"/>
      <c r="S173" s="161"/>
    </row>
    <row r="174" spans="5:19"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1"/>
      <c r="S174" s="161"/>
    </row>
    <row r="175" spans="5:19"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1"/>
      <c r="S175" s="161"/>
    </row>
    <row r="176" spans="5:19"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1"/>
      <c r="S176" s="161"/>
    </row>
    <row r="177" spans="5:19"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1"/>
      <c r="S177" s="161"/>
    </row>
    <row r="178" spans="5:19"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1"/>
      <c r="S178" s="161"/>
    </row>
    <row r="179" spans="5:19"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1"/>
      <c r="S179" s="161"/>
    </row>
    <row r="180" spans="5:19"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1"/>
      <c r="S180" s="161"/>
    </row>
    <row r="181" spans="5:19"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1"/>
      <c r="S181" s="161"/>
    </row>
    <row r="182" spans="5:19">
      <c r="E182" s="160"/>
      <c r="F182" s="160"/>
      <c r="G182" s="160"/>
      <c r="H182" s="160"/>
      <c r="I182" s="160"/>
      <c r="J182" s="160"/>
      <c r="K182" s="160"/>
      <c r="L182" s="160"/>
      <c r="M182" s="160"/>
      <c r="N182" s="160"/>
      <c r="O182" s="160"/>
      <c r="P182" s="160"/>
      <c r="Q182" s="160"/>
      <c r="R182" s="161"/>
      <c r="S182" s="161"/>
    </row>
    <row r="183" spans="5:19">
      <c r="E183" s="160"/>
      <c r="F183" s="160"/>
      <c r="G183" s="160"/>
      <c r="H183" s="160"/>
      <c r="I183" s="160"/>
      <c r="J183" s="160"/>
      <c r="K183" s="160"/>
      <c r="L183" s="160"/>
      <c r="M183" s="160"/>
      <c r="N183" s="160"/>
      <c r="O183" s="160"/>
      <c r="P183" s="160"/>
      <c r="Q183" s="160"/>
      <c r="R183" s="161"/>
      <c r="S183" s="161"/>
    </row>
    <row r="184" spans="5:19"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</row>
    <row r="185" spans="5:19"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  <c r="P185" s="161"/>
      <c r="Q185" s="161"/>
      <c r="R185" s="161"/>
      <c r="S185" s="161"/>
    </row>
    <row r="186" spans="5:19">
      <c r="E186" s="161"/>
      <c r="F186" s="161"/>
      <c r="G186" s="161"/>
      <c r="H186" s="161"/>
      <c r="I186" s="161"/>
      <c r="J186" s="161"/>
      <c r="K186" s="161"/>
      <c r="L186" s="161"/>
      <c r="M186" s="161"/>
      <c r="N186" s="161"/>
      <c r="O186" s="161"/>
      <c r="P186" s="161"/>
      <c r="Q186" s="161"/>
      <c r="R186" s="161"/>
      <c r="S186" s="161"/>
    </row>
    <row r="187" spans="5:19"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  <c r="P187" s="161"/>
      <c r="Q187" s="161"/>
      <c r="R187" s="161"/>
      <c r="S187" s="161"/>
    </row>
  </sheetData>
  <mergeCells count="18">
    <mergeCell ref="F155:G155"/>
    <mergeCell ref="I155:K155"/>
    <mergeCell ref="M155:N155"/>
    <mergeCell ref="F157:H157"/>
    <mergeCell ref="F158:H158"/>
    <mergeCell ref="D14:K14"/>
    <mergeCell ref="D54:K54"/>
    <mergeCell ref="D94:K94"/>
    <mergeCell ref="D98:K98"/>
    <mergeCell ref="D131:K131"/>
    <mergeCell ref="F154:G154"/>
    <mergeCell ref="I154:K154"/>
    <mergeCell ref="D8:E8"/>
    <mergeCell ref="D11:D12"/>
    <mergeCell ref="E11:E12"/>
    <mergeCell ref="F11:F12"/>
    <mergeCell ref="G11:G12"/>
    <mergeCell ref="H11:K11"/>
  </mergeCells>
  <dataValidations count="2">
    <dataValidation allowBlank="1" showInputMessage="1" promptTitle="Ввод" prompt="Для выбора организации необходимо два раза нажать левую клавишу мыши!" sqref="E43 E25:E27 E83 E65:E67"/>
    <dataValidation type="decimal" allowBlank="1" showErrorMessage="1" errorTitle="Ошибка" error="Допускается ввод только действительных чисел!" sqref="G23:K27 G95:K97 G69:K83 G15:K18 G85:K93 G99:K130 G20:K21 G45:K53 G29:K43 G132:K152 G60:K61 G55:K58 G63:K67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2"/>
  <sheetViews>
    <sheetView topLeftCell="C113" workbookViewId="0">
      <selection activeCell="H130" sqref="H130"/>
    </sheetView>
  </sheetViews>
  <sheetFormatPr defaultRowHeight="11.25"/>
  <cols>
    <col min="1" max="2" width="4.7109375" style="188" hidden="1" customWidth="1"/>
    <col min="3" max="3" width="2.7109375" style="188" customWidth="1"/>
    <col min="4" max="4" width="10.7109375" style="188" customWidth="1"/>
    <col min="5" max="5" width="70.7109375" style="188" customWidth="1"/>
    <col min="6" max="6" width="10.7109375" style="188" customWidth="1"/>
    <col min="7" max="7" width="6.7109375" style="188" customWidth="1"/>
    <col min="8" max="12" width="17.7109375" style="188" customWidth="1"/>
    <col min="13" max="13" width="2.7109375" style="188" customWidth="1"/>
    <col min="14" max="19" width="13.5703125" style="188" hidden="1" customWidth="1"/>
    <col min="20" max="20" width="33.7109375" style="188" hidden="1" customWidth="1"/>
    <col min="21" max="16384" width="9.140625" style="189"/>
  </cols>
  <sheetData>
    <row r="1" spans="1:20" ht="10.5" hidden="1" customHeight="1"/>
    <row r="2" spans="1:20" ht="10.5" hidden="1" customHeight="1"/>
    <row r="3" spans="1:20" ht="10.5" hidden="1" customHeight="1">
      <c r="H3" s="190" t="s">
        <v>2139</v>
      </c>
      <c r="I3" s="191" t="s">
        <v>2140</v>
      </c>
      <c r="J3" s="191" t="s">
        <v>2141</v>
      </c>
      <c r="K3" s="191" t="s">
        <v>2142</v>
      </c>
      <c r="L3" s="191" t="s">
        <v>2143</v>
      </c>
      <c r="N3" s="190" t="s">
        <v>2144</v>
      </c>
      <c r="O3" s="190" t="s">
        <v>2145</v>
      </c>
      <c r="P3" s="190" t="s">
        <v>2146</v>
      </c>
      <c r="Q3" s="190" t="s">
        <v>2147</v>
      </c>
      <c r="R3" s="190" t="s">
        <v>2148</v>
      </c>
      <c r="S3" s="190" t="s">
        <v>2149</v>
      </c>
      <c r="T3" s="190" t="s">
        <v>2150</v>
      </c>
    </row>
    <row r="4" spans="1:20" ht="10.5" hidden="1" customHeight="1"/>
    <row r="5" spans="1:20" ht="10.5" hidden="1" customHeight="1">
      <c r="A5" s="192"/>
    </row>
    <row r="6" spans="1:20" ht="10.5" hidden="1" customHeight="1">
      <c r="A6" s="192"/>
    </row>
    <row r="7" spans="1:20" ht="6" customHeight="1">
      <c r="A7" s="192"/>
    </row>
    <row r="8" spans="1:20" ht="12" customHeight="1">
      <c r="A8" s="192"/>
      <c r="D8" s="193" t="s">
        <v>153</v>
      </c>
      <c r="E8" s="193"/>
      <c r="F8" s="194"/>
      <c r="G8" s="194"/>
      <c r="H8" s="194"/>
      <c r="I8" s="194"/>
      <c r="J8" s="194"/>
      <c r="K8" s="194"/>
    </row>
    <row r="9" spans="1:20" ht="12" customHeight="1">
      <c r="D9" s="229">
        <v>44896</v>
      </c>
      <c r="E9" s="195"/>
    </row>
    <row r="10" spans="1:20" ht="15" customHeight="1">
      <c r="D10" s="196"/>
      <c r="E10" s="196"/>
      <c r="F10" s="194"/>
      <c r="G10" s="194"/>
      <c r="H10" s="194"/>
      <c r="I10" s="194"/>
      <c r="J10" s="194"/>
      <c r="K10" s="194"/>
      <c r="L10" s="197" t="s">
        <v>2151</v>
      </c>
    </row>
    <row r="11" spans="1:20" ht="15" customHeight="1">
      <c r="D11" s="198" t="s">
        <v>140</v>
      </c>
      <c r="E11" s="198" t="s">
        <v>2152</v>
      </c>
      <c r="F11" s="198" t="s">
        <v>2153</v>
      </c>
      <c r="G11" s="198" t="s">
        <v>133</v>
      </c>
      <c r="H11" s="198" t="s">
        <v>155</v>
      </c>
      <c r="I11" s="198" t="s">
        <v>156</v>
      </c>
      <c r="J11" s="198"/>
      <c r="K11" s="198"/>
      <c r="L11" s="198"/>
    </row>
    <row r="12" spans="1:20" ht="15" customHeight="1">
      <c r="D12" s="198"/>
      <c r="E12" s="198"/>
      <c r="F12" s="198"/>
      <c r="G12" s="198"/>
      <c r="H12" s="198"/>
      <c r="I12" s="199" t="s">
        <v>134</v>
      </c>
      <c r="J12" s="199" t="s">
        <v>135</v>
      </c>
      <c r="K12" s="199" t="s">
        <v>136</v>
      </c>
      <c r="L12" s="199" t="s">
        <v>137</v>
      </c>
    </row>
    <row r="13" spans="1:20" ht="12" customHeight="1">
      <c r="D13" s="200">
        <v>0</v>
      </c>
      <c r="E13" s="200">
        <v>1</v>
      </c>
      <c r="F13" s="200">
        <v>2</v>
      </c>
      <c r="G13" s="200">
        <v>3</v>
      </c>
      <c r="H13" s="200">
        <v>4</v>
      </c>
      <c r="I13" s="200">
        <v>5</v>
      </c>
      <c r="J13" s="200">
        <v>6</v>
      </c>
      <c r="K13" s="200">
        <v>7</v>
      </c>
      <c r="L13" s="200">
        <v>8</v>
      </c>
    </row>
    <row r="14" spans="1:20" ht="18" customHeight="1">
      <c r="D14" s="201" t="s">
        <v>2154</v>
      </c>
      <c r="E14" s="202"/>
      <c r="F14" s="202"/>
      <c r="G14" s="203"/>
      <c r="H14" s="204"/>
      <c r="I14" s="204"/>
      <c r="J14" s="204"/>
      <c r="K14" s="204"/>
      <c r="L14" s="205"/>
      <c r="N14" s="206"/>
      <c r="O14" s="206"/>
      <c r="P14" s="206"/>
      <c r="Q14" s="206"/>
      <c r="R14" s="206"/>
      <c r="S14" s="206"/>
      <c r="T14" s="206"/>
    </row>
    <row r="15" spans="1:20" ht="12" customHeight="1">
      <c r="D15" s="207" t="s">
        <v>370</v>
      </c>
      <c r="E15" s="208" t="s">
        <v>498</v>
      </c>
      <c r="F15" s="209" t="s">
        <v>2155</v>
      </c>
      <c r="G15" s="209">
        <v>10</v>
      </c>
      <c r="H15" s="210">
        <f>SUM(I15:L15)</f>
        <v>8607.9830000000002</v>
      </c>
      <c r="I15" s="210">
        <f>SUM(I16,I17,I20,I23)</f>
        <v>1042.088</v>
      </c>
      <c r="J15" s="210">
        <f>SUM(J16,J17,J20,J23)</f>
        <v>5814.1809999999996</v>
      </c>
      <c r="K15" s="210">
        <f>SUM(K16,K17,K20,K23)</f>
        <v>1751.7139999999999</v>
      </c>
      <c r="L15" s="210">
        <f>SUM(L16,L17,L20,L23)</f>
        <v>0</v>
      </c>
      <c r="N15" s="206"/>
      <c r="O15" s="206"/>
      <c r="P15" s="206"/>
      <c r="Q15" s="206"/>
      <c r="R15" s="206"/>
      <c r="S15" s="206"/>
      <c r="T15" s="211" t="s">
        <v>2156</v>
      </c>
    </row>
    <row r="16" spans="1:20" ht="12" customHeight="1">
      <c r="D16" s="212" t="s">
        <v>371</v>
      </c>
      <c r="E16" s="213" t="s">
        <v>210</v>
      </c>
      <c r="F16" s="199" t="s">
        <v>2155</v>
      </c>
      <c r="G16" s="199">
        <v>20</v>
      </c>
      <c r="H16" s="210">
        <f>SUM(I16:L16)</f>
        <v>0</v>
      </c>
      <c r="I16" s="214"/>
      <c r="J16" s="214"/>
      <c r="K16" s="214"/>
      <c r="L16" s="214"/>
      <c r="N16" s="206"/>
      <c r="O16" s="206"/>
      <c r="P16" s="206"/>
      <c r="Q16" s="206"/>
      <c r="R16" s="206"/>
      <c r="S16" s="206"/>
      <c r="T16" s="211" t="s">
        <v>2156</v>
      </c>
    </row>
    <row r="17" spans="3:20" ht="12" customHeight="1">
      <c r="D17" s="212" t="s">
        <v>372</v>
      </c>
      <c r="E17" s="213" t="s">
        <v>499</v>
      </c>
      <c r="F17" s="199" t="s">
        <v>2155</v>
      </c>
      <c r="G17" s="199">
        <v>30</v>
      </c>
      <c r="H17" s="210">
        <f>SUM(I17:L17)</f>
        <v>0</v>
      </c>
      <c r="I17" s="210">
        <f>SUM(I18:I19)</f>
        <v>0</v>
      </c>
      <c r="J17" s="210">
        <f>SUM(J18:J19)</f>
        <v>0</v>
      </c>
      <c r="K17" s="210">
        <f>SUM(K18:K19)</f>
        <v>0</v>
      </c>
      <c r="L17" s="210">
        <f>SUM(L18:L19)</f>
        <v>0</v>
      </c>
      <c r="N17" s="206"/>
      <c r="O17" s="206"/>
      <c r="P17" s="206"/>
      <c r="Q17" s="206"/>
      <c r="R17" s="206"/>
      <c r="S17" s="206"/>
      <c r="T17" s="211" t="s">
        <v>2156</v>
      </c>
    </row>
    <row r="18" spans="3:20" ht="12" hidden="1" customHeight="1">
      <c r="D18" s="215"/>
      <c r="E18" s="216"/>
      <c r="F18" s="217"/>
      <c r="G18" s="217"/>
      <c r="H18" s="218"/>
      <c r="I18" s="218"/>
      <c r="J18" s="218"/>
      <c r="K18" s="218"/>
      <c r="L18" s="219"/>
      <c r="N18" s="211" t="s">
        <v>2157</v>
      </c>
      <c r="O18" s="206"/>
      <c r="P18" s="206"/>
      <c r="Q18" s="206"/>
      <c r="R18" s="206"/>
      <c r="S18" s="206"/>
      <c r="T18" s="206"/>
    </row>
    <row r="19" spans="3:20" ht="12" customHeight="1">
      <c r="D19" s="220"/>
      <c r="E19" s="216" t="s">
        <v>334</v>
      </c>
      <c r="F19" s="217"/>
      <c r="G19" s="217"/>
      <c r="H19" s="218"/>
      <c r="I19" s="218"/>
      <c r="J19" s="218"/>
      <c r="K19" s="218"/>
      <c r="L19" s="219"/>
      <c r="N19" s="206"/>
      <c r="O19" s="206"/>
      <c r="P19" s="206"/>
      <c r="Q19" s="206"/>
      <c r="R19" s="206"/>
      <c r="S19" s="206"/>
      <c r="T19" s="221" t="s">
        <v>2158</v>
      </c>
    </row>
    <row r="20" spans="3:20" ht="12" customHeight="1">
      <c r="D20" s="212" t="s">
        <v>373</v>
      </c>
      <c r="E20" s="213" t="s">
        <v>500</v>
      </c>
      <c r="F20" s="199" t="s">
        <v>2155</v>
      </c>
      <c r="G20" s="199" t="s">
        <v>211</v>
      </c>
      <c r="H20" s="210">
        <f>SUM(I20:L20)</f>
        <v>0</v>
      </c>
      <c r="I20" s="210">
        <f>SUM(I21:I22)</f>
        <v>0</v>
      </c>
      <c r="J20" s="210">
        <f>SUM(J21:J22)</f>
        <v>0</v>
      </c>
      <c r="K20" s="210">
        <f>SUM(K21:K22)</f>
        <v>0</v>
      </c>
      <c r="L20" s="210">
        <f>SUM(L21:L22)</f>
        <v>0</v>
      </c>
      <c r="N20" s="206"/>
      <c r="O20" s="206"/>
      <c r="P20" s="206"/>
      <c r="Q20" s="206"/>
      <c r="R20" s="206"/>
      <c r="S20" s="206"/>
      <c r="T20" s="211" t="s">
        <v>2156</v>
      </c>
    </row>
    <row r="21" spans="3:20" ht="12" hidden="1" customHeight="1">
      <c r="D21" s="215"/>
      <c r="E21" s="216"/>
      <c r="F21" s="217"/>
      <c r="G21" s="217"/>
      <c r="H21" s="218"/>
      <c r="I21" s="218"/>
      <c r="J21" s="218"/>
      <c r="K21" s="218"/>
      <c r="L21" s="219"/>
      <c r="N21" s="211" t="s">
        <v>2157</v>
      </c>
      <c r="O21" s="206"/>
      <c r="P21" s="206"/>
      <c r="Q21" s="206"/>
      <c r="R21" s="206"/>
      <c r="S21" s="206"/>
      <c r="T21" s="206"/>
    </row>
    <row r="22" spans="3:20" ht="12" customHeight="1">
      <c r="D22" s="220"/>
      <c r="E22" s="216" t="s">
        <v>334</v>
      </c>
      <c r="F22" s="217"/>
      <c r="G22" s="217"/>
      <c r="H22" s="218"/>
      <c r="I22" s="218"/>
      <c r="J22" s="218"/>
      <c r="K22" s="218"/>
      <c r="L22" s="219"/>
      <c r="N22" s="206"/>
      <c r="O22" s="206"/>
      <c r="P22" s="206"/>
      <c r="Q22" s="206"/>
      <c r="R22" s="206"/>
      <c r="S22" s="206"/>
      <c r="T22" s="221" t="s">
        <v>2159</v>
      </c>
    </row>
    <row r="23" spans="3:20" ht="12" customHeight="1">
      <c r="D23" s="212" t="s">
        <v>374</v>
      </c>
      <c r="E23" s="213" t="s">
        <v>501</v>
      </c>
      <c r="F23" s="199" t="s">
        <v>2155</v>
      </c>
      <c r="G23" s="199" t="s">
        <v>212</v>
      </c>
      <c r="H23" s="210">
        <f>SUM(I23:L23)</f>
        <v>8607.9830000000002</v>
      </c>
      <c r="I23" s="210">
        <f>SUM(I24:I28)</f>
        <v>1042.088</v>
      </c>
      <c r="J23" s="210">
        <f>SUM(J24:J28)</f>
        <v>5814.1809999999996</v>
      </c>
      <c r="K23" s="210">
        <f>SUM(K24:K28)</f>
        <v>1751.7139999999999</v>
      </c>
      <c r="L23" s="210">
        <f>SUM(L24:L28)</f>
        <v>0</v>
      </c>
      <c r="N23" s="206"/>
      <c r="O23" s="206"/>
      <c r="P23" s="206"/>
      <c r="Q23" s="206"/>
      <c r="R23" s="206"/>
      <c r="S23" s="206"/>
      <c r="T23" s="211" t="s">
        <v>2156</v>
      </c>
    </row>
    <row r="24" spans="3:20" ht="12" hidden="1" customHeight="1">
      <c r="D24" s="215"/>
      <c r="E24" s="216"/>
      <c r="F24" s="217"/>
      <c r="G24" s="217"/>
      <c r="H24" s="218"/>
      <c r="I24" s="218"/>
      <c r="J24" s="218"/>
      <c r="K24" s="218"/>
      <c r="L24" s="219"/>
      <c r="N24" s="211" t="s">
        <v>2157</v>
      </c>
      <c r="O24" s="206"/>
      <c r="P24" s="206"/>
      <c r="Q24" s="206"/>
      <c r="R24" s="206"/>
      <c r="S24" s="206"/>
      <c r="T24" s="206"/>
    </row>
    <row r="25" spans="3:20" s="188" customFormat="1" ht="12" customHeight="1">
      <c r="C25" s="222" t="s">
        <v>2160</v>
      </c>
      <c r="D25" s="212" t="str">
        <f>"1.4."&amp;N25</f>
        <v>1.4.1</v>
      </c>
      <c r="E25" s="223" t="s">
        <v>2047</v>
      </c>
      <c r="F25" s="199" t="s">
        <v>2155</v>
      </c>
      <c r="G25" s="199" t="s">
        <v>212</v>
      </c>
      <c r="H25" s="210">
        <f>SUM(I25:L25)</f>
        <v>8181.0429999999997</v>
      </c>
      <c r="I25" s="214">
        <v>1042.088</v>
      </c>
      <c r="J25" s="214">
        <v>5814.1809999999996</v>
      </c>
      <c r="K25" s="214">
        <v>1324.7739999999999</v>
      </c>
      <c r="L25" s="214"/>
      <c r="N25" s="211" t="s">
        <v>370</v>
      </c>
      <c r="O25" s="224" t="s">
        <v>2047</v>
      </c>
      <c r="P25" s="224" t="s">
        <v>2161</v>
      </c>
      <c r="Q25" s="224" t="s">
        <v>1842</v>
      </c>
      <c r="R25" s="224" t="s">
        <v>1438</v>
      </c>
      <c r="S25" s="211" t="s">
        <v>2162</v>
      </c>
      <c r="T25" s="211" t="s">
        <v>2163</v>
      </c>
    </row>
    <row r="26" spans="3:20" s="188" customFormat="1" ht="12" customHeight="1">
      <c r="C26" s="222" t="s">
        <v>2160</v>
      </c>
      <c r="D26" s="212" t="str">
        <f>"1.4."&amp;N26</f>
        <v>1.4.2</v>
      </c>
      <c r="E26" s="223" t="s">
        <v>1467</v>
      </c>
      <c r="F26" s="199" t="s">
        <v>2155</v>
      </c>
      <c r="G26" s="199" t="s">
        <v>212</v>
      </c>
      <c r="H26" s="210">
        <f>SUM(I26:L26)</f>
        <v>327.06</v>
      </c>
      <c r="I26" s="214"/>
      <c r="J26" s="214"/>
      <c r="K26" s="214">
        <v>327.06</v>
      </c>
      <c r="L26" s="214"/>
      <c r="N26" s="211" t="s">
        <v>375</v>
      </c>
      <c r="O26" s="224" t="s">
        <v>1467</v>
      </c>
      <c r="P26" s="224" t="s">
        <v>2164</v>
      </c>
      <c r="Q26" s="224" t="s">
        <v>1468</v>
      </c>
      <c r="R26" s="224" t="s">
        <v>1438</v>
      </c>
      <c r="S26" s="211" t="s">
        <v>2162</v>
      </c>
      <c r="T26" s="211" t="s">
        <v>2163</v>
      </c>
    </row>
    <row r="27" spans="3:20" s="188" customFormat="1" ht="12" customHeight="1">
      <c r="C27" s="222" t="s">
        <v>2160</v>
      </c>
      <c r="D27" s="212" t="str">
        <f>"1.4."&amp;N27</f>
        <v>1.4.3</v>
      </c>
      <c r="E27" s="223" t="s">
        <v>1713</v>
      </c>
      <c r="F27" s="199" t="s">
        <v>2155</v>
      </c>
      <c r="G27" s="199" t="s">
        <v>212</v>
      </c>
      <c r="H27" s="210">
        <f>SUM(I27:L27)</f>
        <v>99.88</v>
      </c>
      <c r="I27" s="214"/>
      <c r="J27" s="214"/>
      <c r="K27" s="214">
        <v>99.88</v>
      </c>
      <c r="L27" s="214"/>
      <c r="N27" s="211" t="s">
        <v>380</v>
      </c>
      <c r="O27" s="224" t="s">
        <v>1713</v>
      </c>
      <c r="P27" s="224" t="s">
        <v>2165</v>
      </c>
      <c r="Q27" s="224" t="s">
        <v>1714</v>
      </c>
      <c r="R27" s="224" t="s">
        <v>1446</v>
      </c>
      <c r="S27" s="211" t="s">
        <v>2162</v>
      </c>
      <c r="T27" s="211" t="s">
        <v>2163</v>
      </c>
    </row>
    <row r="28" spans="3:20" ht="12" customHeight="1">
      <c r="D28" s="220"/>
      <c r="E28" s="216" t="s">
        <v>334</v>
      </c>
      <c r="F28" s="217"/>
      <c r="G28" s="217"/>
      <c r="H28" s="218"/>
      <c r="I28" s="218"/>
      <c r="J28" s="218"/>
      <c r="K28" s="218"/>
      <c r="L28" s="219"/>
      <c r="N28" s="206"/>
      <c r="O28" s="206"/>
      <c r="P28" s="206"/>
      <c r="Q28" s="206"/>
      <c r="R28" s="206"/>
      <c r="S28" s="206"/>
      <c r="T28" s="221" t="s">
        <v>2166</v>
      </c>
    </row>
    <row r="29" spans="3:20" ht="12" customHeight="1">
      <c r="D29" s="207" t="s">
        <v>375</v>
      </c>
      <c r="E29" s="208" t="s">
        <v>157</v>
      </c>
      <c r="F29" s="209" t="s">
        <v>2155</v>
      </c>
      <c r="G29" s="209" t="s">
        <v>213</v>
      </c>
      <c r="H29" s="210">
        <f t="shared" ref="H29:H41" si="0">SUM(I29:L29)</f>
        <v>2746.9869999999983</v>
      </c>
      <c r="I29" s="210">
        <f>SUM(I31,I32,I33)</f>
        <v>0</v>
      </c>
      <c r="J29" s="210">
        <f>SUM(J30,J32,J33)</f>
        <v>0</v>
      </c>
      <c r="K29" s="210">
        <f>SUM(K30,K31,K33)</f>
        <v>1843.724999999999</v>
      </c>
      <c r="L29" s="210">
        <f>SUM(L30,L31,L32)</f>
        <v>903.26199999999903</v>
      </c>
      <c r="N29" s="206"/>
      <c r="O29" s="206"/>
      <c r="P29" s="206"/>
      <c r="Q29" s="206"/>
      <c r="R29" s="206"/>
      <c r="S29" s="206"/>
      <c r="T29" s="211" t="s">
        <v>2156</v>
      </c>
    </row>
    <row r="30" spans="3:20" ht="12" customHeight="1">
      <c r="D30" s="212" t="s">
        <v>376</v>
      </c>
      <c r="E30" s="213" t="s">
        <v>134</v>
      </c>
      <c r="F30" s="199" t="s">
        <v>2155</v>
      </c>
      <c r="G30" s="199" t="s">
        <v>214</v>
      </c>
      <c r="H30" s="210">
        <f t="shared" si="0"/>
        <v>943.88499999999999</v>
      </c>
      <c r="I30" s="225"/>
      <c r="J30" s="214"/>
      <c r="K30" s="214">
        <f>I15-I49</f>
        <v>943.88499999999999</v>
      </c>
      <c r="L30" s="214"/>
      <c r="N30" s="206"/>
      <c r="O30" s="206"/>
      <c r="P30" s="206"/>
      <c r="Q30" s="206"/>
      <c r="R30" s="206"/>
      <c r="S30" s="206"/>
      <c r="T30" s="211" t="s">
        <v>2156</v>
      </c>
    </row>
    <row r="31" spans="3:20" ht="12" customHeight="1">
      <c r="D31" s="212" t="s">
        <v>377</v>
      </c>
      <c r="E31" s="213" t="s">
        <v>135</v>
      </c>
      <c r="F31" s="199" t="s">
        <v>2155</v>
      </c>
      <c r="G31" s="199" t="s">
        <v>215</v>
      </c>
      <c r="H31" s="210">
        <f t="shared" si="0"/>
        <v>899.83999999999912</v>
      </c>
      <c r="I31" s="214"/>
      <c r="J31" s="225"/>
      <c r="K31" s="214">
        <f>J23-J35-J49</f>
        <v>899.83999999999912</v>
      </c>
      <c r="L31" s="214"/>
      <c r="N31" s="206"/>
      <c r="O31" s="206"/>
      <c r="P31" s="206"/>
      <c r="Q31" s="206"/>
      <c r="R31" s="206"/>
      <c r="S31" s="206"/>
      <c r="T31" s="211" t="s">
        <v>2156</v>
      </c>
    </row>
    <row r="32" spans="3:20" ht="12" customHeight="1">
      <c r="D32" s="212" t="s">
        <v>378</v>
      </c>
      <c r="E32" s="213" t="s">
        <v>136</v>
      </c>
      <c r="F32" s="199" t="s">
        <v>2155</v>
      </c>
      <c r="G32" s="199" t="s">
        <v>216</v>
      </c>
      <c r="H32" s="210">
        <f t="shared" si="0"/>
        <v>903.26199999999903</v>
      </c>
      <c r="I32" s="214"/>
      <c r="J32" s="214"/>
      <c r="K32" s="225"/>
      <c r="L32" s="214">
        <f>K15+K29-K35-K49</f>
        <v>903.26199999999903</v>
      </c>
      <c r="N32" s="206"/>
      <c r="O32" s="206"/>
      <c r="P32" s="206"/>
      <c r="Q32" s="206"/>
      <c r="R32" s="206"/>
      <c r="S32" s="206"/>
      <c r="T32" s="211" t="s">
        <v>2156</v>
      </c>
    </row>
    <row r="33" spans="3:20" ht="12" customHeight="1">
      <c r="D33" s="212" t="s">
        <v>379</v>
      </c>
      <c r="E33" s="213" t="s">
        <v>158</v>
      </c>
      <c r="F33" s="199" t="s">
        <v>2155</v>
      </c>
      <c r="G33" s="199" t="s">
        <v>217</v>
      </c>
      <c r="H33" s="210">
        <f t="shared" si="0"/>
        <v>0</v>
      </c>
      <c r="I33" s="214"/>
      <c r="J33" s="214"/>
      <c r="K33" s="214"/>
      <c r="L33" s="225"/>
      <c r="N33" s="206"/>
      <c r="O33" s="206"/>
      <c r="P33" s="206"/>
      <c r="Q33" s="206"/>
      <c r="R33" s="206"/>
      <c r="S33" s="206"/>
      <c r="T33" s="211" t="s">
        <v>2156</v>
      </c>
    </row>
    <row r="34" spans="3:20" ht="12" customHeight="1">
      <c r="D34" s="207" t="s">
        <v>380</v>
      </c>
      <c r="E34" s="208" t="s">
        <v>161</v>
      </c>
      <c r="F34" s="209" t="s">
        <v>2155</v>
      </c>
      <c r="G34" s="209" t="s">
        <v>218</v>
      </c>
      <c r="H34" s="210">
        <f t="shared" si="0"/>
        <v>0</v>
      </c>
      <c r="I34" s="214"/>
      <c r="J34" s="214"/>
      <c r="K34" s="214"/>
      <c r="L34" s="214"/>
      <c r="N34" s="206"/>
      <c r="O34" s="206"/>
      <c r="P34" s="206"/>
      <c r="Q34" s="206"/>
      <c r="R34" s="206"/>
      <c r="S34" s="206"/>
      <c r="T34" s="211" t="s">
        <v>2156</v>
      </c>
    </row>
    <row r="35" spans="3:20" ht="12" customHeight="1">
      <c r="D35" s="207" t="s">
        <v>381</v>
      </c>
      <c r="E35" s="208" t="s">
        <v>502</v>
      </c>
      <c r="F35" s="209" t="s">
        <v>2155</v>
      </c>
      <c r="G35" s="209" t="s">
        <v>219</v>
      </c>
      <c r="H35" s="210">
        <f t="shared" si="0"/>
        <v>8256.103000000001</v>
      </c>
      <c r="I35" s="210">
        <f>SUM(I36,I38,I41,I45)</f>
        <v>0</v>
      </c>
      <c r="J35" s="210">
        <f>SUM(J36,J38,J41,J45)</f>
        <v>4824.1360000000004</v>
      </c>
      <c r="K35" s="210">
        <f>SUM(K36,K38,K41,K45)</f>
        <v>2565.2429999999999</v>
      </c>
      <c r="L35" s="210">
        <f>SUM(L36,L38,L41,L45)</f>
        <v>866.72400000000005</v>
      </c>
      <c r="N35" s="206"/>
      <c r="O35" s="206"/>
      <c r="P35" s="206"/>
      <c r="Q35" s="206"/>
      <c r="R35" s="206"/>
      <c r="S35" s="206"/>
      <c r="T35" s="211" t="s">
        <v>2156</v>
      </c>
    </row>
    <row r="36" spans="3:20" ht="24" customHeight="1">
      <c r="D36" s="212" t="s">
        <v>382</v>
      </c>
      <c r="E36" s="213" t="s">
        <v>2167</v>
      </c>
      <c r="F36" s="199" t="s">
        <v>2155</v>
      </c>
      <c r="G36" s="199" t="s">
        <v>220</v>
      </c>
      <c r="H36" s="210">
        <f t="shared" si="0"/>
        <v>0</v>
      </c>
      <c r="I36" s="214"/>
      <c r="J36" s="214"/>
      <c r="K36" s="214"/>
      <c r="L36" s="214"/>
      <c r="N36" s="206"/>
      <c r="O36" s="206"/>
      <c r="P36" s="206"/>
      <c r="Q36" s="206"/>
      <c r="R36" s="206"/>
      <c r="S36" s="206"/>
      <c r="T36" s="211" t="s">
        <v>2156</v>
      </c>
    </row>
    <row r="37" spans="3:20" ht="12" customHeight="1">
      <c r="D37" s="212" t="s">
        <v>486</v>
      </c>
      <c r="E37" s="226" t="s">
        <v>2168</v>
      </c>
      <c r="F37" s="199" t="s">
        <v>2155</v>
      </c>
      <c r="G37" s="199" t="s">
        <v>223</v>
      </c>
      <c r="H37" s="210">
        <f t="shared" si="0"/>
        <v>0</v>
      </c>
      <c r="I37" s="214"/>
      <c r="J37" s="214"/>
      <c r="K37" s="214"/>
      <c r="L37" s="214"/>
      <c r="N37" s="206"/>
      <c r="O37" s="206"/>
      <c r="P37" s="206"/>
      <c r="Q37" s="206"/>
      <c r="R37" s="206"/>
      <c r="S37" s="206"/>
      <c r="T37" s="211" t="s">
        <v>2156</v>
      </c>
    </row>
    <row r="38" spans="3:20" ht="12" customHeight="1">
      <c r="D38" s="212" t="s">
        <v>383</v>
      </c>
      <c r="E38" s="213" t="s">
        <v>221</v>
      </c>
      <c r="F38" s="199" t="s">
        <v>2155</v>
      </c>
      <c r="G38" s="199" t="s">
        <v>224</v>
      </c>
      <c r="H38" s="210">
        <f t="shared" si="0"/>
        <v>4168.3240000000005</v>
      </c>
      <c r="I38" s="214"/>
      <c r="J38" s="214">
        <f>4824.136-J43</f>
        <v>736.35700000000043</v>
      </c>
      <c r="K38" s="214">
        <v>2565.2429999999999</v>
      </c>
      <c r="L38" s="214">
        <v>866.72400000000005</v>
      </c>
      <c r="N38" s="206"/>
      <c r="O38" s="206"/>
      <c r="P38" s="206"/>
      <c r="Q38" s="206"/>
      <c r="R38" s="206"/>
      <c r="S38" s="206"/>
      <c r="T38" s="211" t="s">
        <v>2156</v>
      </c>
    </row>
    <row r="39" spans="3:20" ht="12" customHeight="1">
      <c r="D39" s="212" t="s">
        <v>487</v>
      </c>
      <c r="E39" s="226" t="s">
        <v>504</v>
      </c>
      <c r="F39" s="199" t="s">
        <v>2155</v>
      </c>
      <c r="G39" s="199" t="s">
        <v>225</v>
      </c>
      <c r="H39" s="210">
        <f t="shared" si="0"/>
        <v>0</v>
      </c>
      <c r="I39" s="214"/>
      <c r="J39" s="214"/>
      <c r="K39" s="214"/>
      <c r="L39" s="214"/>
      <c r="N39" s="206"/>
      <c r="O39" s="206"/>
      <c r="P39" s="206"/>
      <c r="Q39" s="206"/>
      <c r="R39" s="206"/>
      <c r="S39" s="206"/>
      <c r="T39" s="211" t="s">
        <v>2156</v>
      </c>
    </row>
    <row r="40" spans="3:20" ht="12" customHeight="1">
      <c r="D40" s="212" t="s">
        <v>488</v>
      </c>
      <c r="E40" s="227" t="s">
        <v>2169</v>
      </c>
      <c r="F40" s="199" t="s">
        <v>2155</v>
      </c>
      <c r="G40" s="199" t="s">
        <v>226</v>
      </c>
      <c r="H40" s="210">
        <f t="shared" si="0"/>
        <v>0</v>
      </c>
      <c r="I40" s="214"/>
      <c r="J40" s="214"/>
      <c r="K40" s="214"/>
      <c r="L40" s="214"/>
      <c r="N40" s="206"/>
      <c r="O40" s="206"/>
      <c r="P40" s="206"/>
      <c r="Q40" s="206"/>
      <c r="R40" s="206"/>
      <c r="S40" s="206"/>
      <c r="T40" s="211" t="s">
        <v>2156</v>
      </c>
    </row>
    <row r="41" spans="3:20" ht="12" customHeight="1">
      <c r="D41" s="212" t="s">
        <v>384</v>
      </c>
      <c r="E41" s="213" t="s">
        <v>505</v>
      </c>
      <c r="F41" s="199" t="s">
        <v>2155</v>
      </c>
      <c r="G41" s="199" t="s">
        <v>227</v>
      </c>
      <c r="H41" s="210">
        <f t="shared" si="0"/>
        <v>4087.779</v>
      </c>
      <c r="I41" s="210">
        <f>SUM(I42:I44)</f>
        <v>0</v>
      </c>
      <c r="J41" s="210">
        <f>SUM(J42:J44)</f>
        <v>4087.779</v>
      </c>
      <c r="K41" s="210">
        <f>SUM(K42:K44)</f>
        <v>0</v>
      </c>
      <c r="L41" s="210">
        <f>SUM(L42:L44)</f>
        <v>0</v>
      </c>
      <c r="N41" s="206"/>
      <c r="O41" s="206"/>
      <c r="P41" s="206"/>
      <c r="Q41" s="206"/>
      <c r="R41" s="206"/>
      <c r="S41" s="206"/>
      <c r="T41" s="211" t="s">
        <v>2156</v>
      </c>
    </row>
    <row r="42" spans="3:20" ht="12" hidden="1" customHeight="1">
      <c r="D42" s="215"/>
      <c r="E42" s="216"/>
      <c r="F42" s="217"/>
      <c r="G42" s="217"/>
      <c r="H42" s="218"/>
      <c r="I42" s="218"/>
      <c r="J42" s="218"/>
      <c r="K42" s="218"/>
      <c r="L42" s="219"/>
      <c r="N42" s="211" t="s">
        <v>2157</v>
      </c>
      <c r="O42" s="206"/>
      <c r="P42" s="206"/>
      <c r="Q42" s="206"/>
      <c r="R42" s="206"/>
      <c r="S42" s="206"/>
      <c r="T42" s="206"/>
    </row>
    <row r="43" spans="3:20" s="188" customFormat="1" ht="12" customHeight="1">
      <c r="C43" s="222" t="s">
        <v>2160</v>
      </c>
      <c r="D43" s="212" t="str">
        <f>"4.3."&amp;N43</f>
        <v>4.3.1</v>
      </c>
      <c r="E43" s="223" t="s">
        <v>1467</v>
      </c>
      <c r="F43" s="199" t="s">
        <v>2155</v>
      </c>
      <c r="G43" s="199" t="s">
        <v>227</v>
      </c>
      <c r="H43" s="210">
        <f>SUM(I43:L43)</f>
        <v>4087.779</v>
      </c>
      <c r="I43" s="214"/>
      <c r="J43" s="214">
        <v>4087.779</v>
      </c>
      <c r="K43" s="214"/>
      <c r="L43" s="214"/>
      <c r="N43" s="211" t="s">
        <v>370</v>
      </c>
      <c r="O43" s="224" t="s">
        <v>1467</v>
      </c>
      <c r="P43" s="224" t="s">
        <v>2164</v>
      </c>
      <c r="Q43" s="224" t="s">
        <v>1468</v>
      </c>
      <c r="R43" s="224" t="s">
        <v>1438</v>
      </c>
      <c r="S43" s="211" t="s">
        <v>2162</v>
      </c>
      <c r="T43" s="211" t="s">
        <v>2170</v>
      </c>
    </row>
    <row r="44" spans="3:20" ht="12" customHeight="1">
      <c r="D44" s="220"/>
      <c r="E44" s="216" t="s">
        <v>334</v>
      </c>
      <c r="F44" s="217"/>
      <c r="G44" s="217"/>
      <c r="H44" s="218"/>
      <c r="I44" s="218"/>
      <c r="J44" s="218"/>
      <c r="K44" s="218"/>
      <c r="L44" s="219"/>
      <c r="N44" s="206"/>
      <c r="O44" s="206"/>
      <c r="P44" s="206"/>
      <c r="Q44" s="206"/>
      <c r="R44" s="206"/>
      <c r="S44" s="206"/>
      <c r="T44" s="221" t="s">
        <v>2171</v>
      </c>
    </row>
    <row r="45" spans="3:20" ht="12" customHeight="1">
      <c r="D45" s="212" t="s">
        <v>385</v>
      </c>
      <c r="E45" s="213" t="s">
        <v>2172</v>
      </c>
      <c r="F45" s="199" t="s">
        <v>2155</v>
      </c>
      <c r="G45" s="199" t="s">
        <v>228</v>
      </c>
      <c r="H45" s="210">
        <f t="shared" ref="H45:H53" si="1">SUM(I45:L45)</f>
        <v>0</v>
      </c>
      <c r="I45" s="214"/>
      <c r="J45" s="214"/>
      <c r="K45" s="214"/>
      <c r="L45" s="214"/>
      <c r="N45" s="206"/>
      <c r="O45" s="206"/>
      <c r="P45" s="206"/>
      <c r="Q45" s="206"/>
      <c r="R45" s="206"/>
      <c r="S45" s="206"/>
      <c r="T45" s="211" t="s">
        <v>2156</v>
      </c>
    </row>
    <row r="46" spans="3:20" ht="12" customHeight="1">
      <c r="D46" s="207" t="s">
        <v>386</v>
      </c>
      <c r="E46" s="208" t="s">
        <v>159</v>
      </c>
      <c r="F46" s="209" t="s">
        <v>2155</v>
      </c>
      <c r="G46" s="209" t="s">
        <v>229</v>
      </c>
      <c r="H46" s="210">
        <f t="shared" si="1"/>
        <v>2746.9869999999983</v>
      </c>
      <c r="I46" s="214">
        <f>I15-I49</f>
        <v>943.88499999999999</v>
      </c>
      <c r="J46" s="214">
        <f>J15-J35-J49</f>
        <v>899.83999999999912</v>
      </c>
      <c r="K46" s="214">
        <f>K15+K29-K35-K49</f>
        <v>903.26199999999903</v>
      </c>
      <c r="L46" s="214"/>
      <c r="N46" s="206"/>
      <c r="O46" s="206"/>
      <c r="P46" s="206"/>
      <c r="Q46" s="206"/>
      <c r="R46" s="206"/>
      <c r="S46" s="206"/>
      <c r="T46" s="211" t="s">
        <v>2156</v>
      </c>
    </row>
    <row r="47" spans="3:20" ht="12" customHeight="1">
      <c r="D47" s="207" t="s">
        <v>387</v>
      </c>
      <c r="E47" s="208" t="s">
        <v>160</v>
      </c>
      <c r="F47" s="209" t="s">
        <v>2155</v>
      </c>
      <c r="G47" s="209" t="s">
        <v>230</v>
      </c>
      <c r="H47" s="210">
        <f t="shared" si="1"/>
        <v>0</v>
      </c>
      <c r="I47" s="214"/>
      <c r="J47" s="214"/>
      <c r="K47" s="214"/>
      <c r="L47" s="214"/>
      <c r="N47" s="206"/>
      <c r="O47" s="206"/>
      <c r="P47" s="206"/>
      <c r="Q47" s="206"/>
      <c r="R47" s="206"/>
      <c r="S47" s="206"/>
      <c r="T47" s="211" t="s">
        <v>2156</v>
      </c>
    </row>
    <row r="48" spans="3:20" ht="12" customHeight="1">
      <c r="D48" s="207" t="s">
        <v>388</v>
      </c>
      <c r="E48" s="208" t="s">
        <v>162</v>
      </c>
      <c r="F48" s="209" t="s">
        <v>2155</v>
      </c>
      <c r="G48" s="209" t="s">
        <v>231</v>
      </c>
      <c r="H48" s="210">
        <f t="shared" si="1"/>
        <v>0</v>
      </c>
      <c r="I48" s="214"/>
      <c r="J48" s="214"/>
      <c r="K48" s="214"/>
      <c r="L48" s="214"/>
      <c r="N48" s="206"/>
      <c r="O48" s="206"/>
      <c r="P48" s="206"/>
      <c r="Q48" s="206"/>
      <c r="R48" s="206"/>
      <c r="S48" s="206"/>
      <c r="T48" s="211" t="s">
        <v>2156</v>
      </c>
    </row>
    <row r="49" spans="3:20" s="189" customFormat="1" ht="12" customHeight="1">
      <c r="C49" s="188"/>
      <c r="D49" s="207" t="s">
        <v>389</v>
      </c>
      <c r="E49" s="208" t="s">
        <v>2173</v>
      </c>
      <c r="F49" s="209" t="s">
        <v>2155</v>
      </c>
      <c r="G49" s="209" t="s">
        <v>232</v>
      </c>
      <c r="H49" s="210">
        <f t="shared" si="1"/>
        <v>351.88</v>
      </c>
      <c r="I49" s="214">
        <v>98.203000000000003</v>
      </c>
      <c r="J49" s="214">
        <v>90.204999999999998</v>
      </c>
      <c r="K49" s="214">
        <v>126.934</v>
      </c>
      <c r="L49" s="214">
        <v>36.537999999999997</v>
      </c>
      <c r="M49" s="188"/>
      <c r="N49" s="206"/>
      <c r="O49" s="206"/>
      <c r="P49" s="206"/>
      <c r="Q49" s="206"/>
      <c r="R49" s="206"/>
      <c r="S49" s="206"/>
      <c r="T49" s="211" t="s">
        <v>2156</v>
      </c>
    </row>
    <row r="50" spans="3:20" s="189" customFormat="1" ht="12" customHeight="1">
      <c r="C50" s="188"/>
      <c r="D50" s="212" t="s">
        <v>390</v>
      </c>
      <c r="E50" s="213" t="s">
        <v>474</v>
      </c>
      <c r="F50" s="199" t="s">
        <v>2155</v>
      </c>
      <c r="G50" s="199" t="s">
        <v>234</v>
      </c>
      <c r="H50" s="210">
        <f t="shared" si="1"/>
        <v>0</v>
      </c>
      <c r="I50" s="214"/>
      <c r="J50" s="214"/>
      <c r="K50" s="214"/>
      <c r="L50" s="214"/>
      <c r="M50" s="188"/>
      <c r="N50" s="206"/>
      <c r="O50" s="206"/>
      <c r="P50" s="206"/>
      <c r="Q50" s="206"/>
      <c r="R50" s="206"/>
      <c r="S50" s="206"/>
      <c r="T50" s="211" t="s">
        <v>2156</v>
      </c>
    </row>
    <row r="51" spans="3:20" s="189" customFormat="1" ht="12" customHeight="1">
      <c r="C51" s="188"/>
      <c r="D51" s="207" t="s">
        <v>475</v>
      </c>
      <c r="E51" s="208" t="s">
        <v>2174</v>
      </c>
      <c r="F51" s="209" t="s">
        <v>2155</v>
      </c>
      <c r="G51" s="209" t="s">
        <v>235</v>
      </c>
      <c r="H51" s="210">
        <f t="shared" si="1"/>
        <v>124.81100000000001</v>
      </c>
      <c r="I51" s="214"/>
      <c r="J51" s="214">
        <f>124.811*0.25776</f>
        <v>32.171283360000004</v>
      </c>
      <c r="K51" s="214">
        <f>124.811*0.37244</f>
        <v>46.48460884</v>
      </c>
      <c r="L51" s="214">
        <f>124.811*0.3698</f>
        <v>46.155107800000003</v>
      </c>
      <c r="M51" s="188"/>
      <c r="N51" s="206"/>
      <c r="O51" s="206"/>
      <c r="P51" s="206"/>
      <c r="Q51" s="206"/>
      <c r="R51" s="206"/>
      <c r="S51" s="206"/>
      <c r="T51" s="211" t="s">
        <v>2156</v>
      </c>
    </row>
    <row r="52" spans="3:20" s="189" customFormat="1" ht="24" customHeight="1">
      <c r="C52" s="188"/>
      <c r="D52" s="207" t="s">
        <v>391</v>
      </c>
      <c r="E52" s="208" t="s">
        <v>2175</v>
      </c>
      <c r="F52" s="209" t="s">
        <v>2155</v>
      </c>
      <c r="G52" s="209" t="s">
        <v>237</v>
      </c>
      <c r="H52" s="210">
        <f t="shared" si="1"/>
        <v>227.06899999999999</v>
      </c>
      <c r="I52" s="210">
        <f>I49-I51</f>
        <v>98.203000000000003</v>
      </c>
      <c r="J52" s="210">
        <f>J49-J51</f>
        <v>58.033716639999994</v>
      </c>
      <c r="K52" s="210">
        <f>K49-K51</f>
        <v>80.449391160000005</v>
      </c>
      <c r="L52" s="210">
        <f>L49-L51</f>
        <v>-9.6171078000000065</v>
      </c>
      <c r="M52" s="188"/>
      <c r="N52" s="206"/>
      <c r="O52" s="206"/>
      <c r="P52" s="206"/>
      <c r="Q52" s="206"/>
      <c r="R52" s="206"/>
      <c r="S52" s="206"/>
      <c r="T52" s="211" t="s">
        <v>2156</v>
      </c>
    </row>
    <row r="53" spans="3:20" s="189" customFormat="1" ht="12" customHeight="1">
      <c r="C53" s="188"/>
      <c r="D53" s="207" t="s">
        <v>392</v>
      </c>
      <c r="E53" s="208" t="s">
        <v>163</v>
      </c>
      <c r="F53" s="209" t="s">
        <v>2155</v>
      </c>
      <c r="G53" s="209" t="s">
        <v>238</v>
      </c>
      <c r="H53" s="210">
        <f t="shared" si="1"/>
        <v>-1.0231815394945443E-12</v>
      </c>
      <c r="I53" s="210">
        <f>SUM(I15,I29,I34)-SUM(I35,I46:I49)</f>
        <v>0</v>
      </c>
      <c r="J53" s="210">
        <f>SUM(J15,J29,J34)-SUM(J35,J46:J49)</f>
        <v>0</v>
      </c>
      <c r="K53" s="210">
        <f>SUM(K15,K29,K34)-SUM(K35,K46:K49)</f>
        <v>0</v>
      </c>
      <c r="L53" s="210">
        <f>SUM(L15,L29,L34)-SUM(L35,L46:L49)</f>
        <v>-1.0231815394945443E-12</v>
      </c>
      <c r="M53" s="188"/>
      <c r="N53" s="206"/>
      <c r="O53" s="206"/>
      <c r="P53" s="206"/>
      <c r="Q53" s="206"/>
      <c r="R53" s="206"/>
      <c r="S53" s="206"/>
      <c r="T53" s="211" t="s">
        <v>2156</v>
      </c>
    </row>
    <row r="54" spans="3:20" s="189" customFormat="1" ht="18" customHeight="1">
      <c r="C54" s="188"/>
      <c r="D54" s="201" t="s">
        <v>2176</v>
      </c>
      <c r="E54" s="202"/>
      <c r="F54" s="202"/>
      <c r="G54" s="203"/>
      <c r="H54" s="204"/>
      <c r="I54" s="204"/>
      <c r="J54" s="204"/>
      <c r="K54" s="204"/>
      <c r="L54" s="205"/>
      <c r="M54" s="188"/>
      <c r="N54" s="206"/>
      <c r="O54" s="206"/>
      <c r="P54" s="206"/>
      <c r="Q54" s="206"/>
      <c r="R54" s="206"/>
      <c r="S54" s="206"/>
      <c r="T54" s="206"/>
    </row>
    <row r="55" spans="3:20" s="189" customFormat="1" ht="12" customHeight="1">
      <c r="C55" s="188"/>
      <c r="D55" s="207" t="s">
        <v>393</v>
      </c>
      <c r="E55" s="208" t="s">
        <v>498</v>
      </c>
      <c r="F55" s="209" t="s">
        <v>2177</v>
      </c>
      <c r="G55" s="209" t="s">
        <v>239</v>
      </c>
      <c r="H55" s="210">
        <f>SUM(I55:L55)</f>
        <v>11.569869623655913</v>
      </c>
      <c r="I55" s="210">
        <f>SUM(I56,I57,I60,I63)</f>
        <v>1.4006559139784946</v>
      </c>
      <c r="J55" s="210">
        <f>SUM(J56,J57,J60,J63)</f>
        <v>7.8147594086021499</v>
      </c>
      <c r="K55" s="210">
        <f>SUM(K56,K57,K60,K63)</f>
        <v>2.3544543010752688</v>
      </c>
      <c r="L55" s="210">
        <f>SUM(L56,L57,L60,L63)</f>
        <v>0</v>
      </c>
      <c r="M55" s="188"/>
      <c r="N55" s="206"/>
      <c r="O55" s="206"/>
      <c r="P55" s="206"/>
      <c r="Q55" s="206"/>
      <c r="R55" s="206"/>
      <c r="S55" s="206"/>
      <c r="T55" s="211" t="s">
        <v>2156</v>
      </c>
    </row>
    <row r="56" spans="3:20" s="189" customFormat="1" ht="12" customHeight="1">
      <c r="C56" s="188"/>
      <c r="D56" s="212" t="s">
        <v>394</v>
      </c>
      <c r="E56" s="213" t="s">
        <v>210</v>
      </c>
      <c r="F56" s="199" t="s">
        <v>2177</v>
      </c>
      <c r="G56" s="199" t="s">
        <v>240</v>
      </c>
      <c r="H56" s="210">
        <f>SUM(I56:L56)</f>
        <v>0</v>
      </c>
      <c r="I56" s="214"/>
      <c r="J56" s="214"/>
      <c r="K56" s="214"/>
      <c r="L56" s="214"/>
      <c r="M56" s="188"/>
      <c r="N56" s="206"/>
      <c r="O56" s="206"/>
      <c r="P56" s="206"/>
      <c r="Q56" s="206"/>
      <c r="R56" s="206"/>
      <c r="S56" s="206"/>
      <c r="T56" s="211" t="s">
        <v>2156</v>
      </c>
    </row>
    <row r="57" spans="3:20" s="189" customFormat="1" ht="12" customHeight="1">
      <c r="C57" s="188"/>
      <c r="D57" s="212" t="s">
        <v>395</v>
      </c>
      <c r="E57" s="213" t="s">
        <v>499</v>
      </c>
      <c r="F57" s="199" t="s">
        <v>2177</v>
      </c>
      <c r="G57" s="199" t="s">
        <v>241</v>
      </c>
      <c r="H57" s="210">
        <f>SUM(I57:L57)</f>
        <v>0</v>
      </c>
      <c r="I57" s="210">
        <f>SUM(I58:I59)</f>
        <v>0</v>
      </c>
      <c r="J57" s="210">
        <f>SUM(J58:J59)</f>
        <v>0</v>
      </c>
      <c r="K57" s="210">
        <f>SUM(K58:K59)</f>
        <v>0</v>
      </c>
      <c r="L57" s="210">
        <f>SUM(L58:L59)</f>
        <v>0</v>
      </c>
      <c r="M57" s="188"/>
      <c r="N57" s="206"/>
      <c r="O57" s="206"/>
      <c r="P57" s="206"/>
      <c r="Q57" s="206"/>
      <c r="R57" s="206"/>
      <c r="S57" s="206"/>
      <c r="T57" s="211" t="s">
        <v>2156</v>
      </c>
    </row>
    <row r="58" spans="3:20" s="189" customFormat="1" ht="12" hidden="1" customHeight="1">
      <c r="C58" s="188"/>
      <c r="D58" s="215"/>
      <c r="E58" s="216"/>
      <c r="F58" s="217"/>
      <c r="G58" s="217"/>
      <c r="H58" s="218"/>
      <c r="I58" s="218"/>
      <c r="J58" s="218"/>
      <c r="K58" s="218"/>
      <c r="L58" s="219"/>
      <c r="M58" s="188"/>
      <c r="N58" s="211" t="s">
        <v>2157</v>
      </c>
      <c r="O58" s="206"/>
      <c r="P58" s="206"/>
      <c r="Q58" s="206"/>
      <c r="R58" s="206"/>
      <c r="S58" s="206"/>
      <c r="T58" s="206"/>
    </row>
    <row r="59" spans="3:20" s="189" customFormat="1" ht="12" customHeight="1">
      <c r="C59" s="188"/>
      <c r="D59" s="220"/>
      <c r="E59" s="216" t="s">
        <v>334</v>
      </c>
      <c r="F59" s="217"/>
      <c r="G59" s="217"/>
      <c r="H59" s="218"/>
      <c r="I59" s="218"/>
      <c r="J59" s="218"/>
      <c r="K59" s="218"/>
      <c r="L59" s="219"/>
      <c r="M59" s="188"/>
      <c r="N59" s="206"/>
      <c r="O59" s="206"/>
      <c r="P59" s="206"/>
      <c r="Q59" s="206"/>
      <c r="R59" s="206"/>
      <c r="S59" s="206"/>
      <c r="T59" s="221" t="s">
        <v>2178</v>
      </c>
    </row>
    <row r="60" spans="3:20" s="189" customFormat="1" ht="12" customHeight="1">
      <c r="C60" s="188"/>
      <c r="D60" s="212" t="s">
        <v>396</v>
      </c>
      <c r="E60" s="213" t="s">
        <v>500</v>
      </c>
      <c r="F60" s="199" t="s">
        <v>2177</v>
      </c>
      <c r="G60" s="199" t="s">
        <v>242</v>
      </c>
      <c r="H60" s="210">
        <f>SUM(I60:L60)</f>
        <v>0</v>
      </c>
      <c r="I60" s="210">
        <f>SUM(I61:I62)</f>
        <v>0</v>
      </c>
      <c r="J60" s="210">
        <f>SUM(J61:J62)</f>
        <v>0</v>
      </c>
      <c r="K60" s="210">
        <f>SUM(K61:K62)</f>
        <v>0</v>
      </c>
      <c r="L60" s="210">
        <f>SUM(L61:L62)</f>
        <v>0</v>
      </c>
      <c r="M60" s="188"/>
      <c r="N60" s="206"/>
      <c r="O60" s="206"/>
      <c r="P60" s="206"/>
      <c r="Q60" s="206"/>
      <c r="R60" s="206"/>
      <c r="S60" s="206"/>
      <c r="T60" s="211" t="s">
        <v>2156</v>
      </c>
    </row>
    <row r="61" spans="3:20" s="189" customFormat="1" ht="12" hidden="1" customHeight="1">
      <c r="C61" s="188"/>
      <c r="D61" s="215"/>
      <c r="E61" s="216"/>
      <c r="F61" s="217"/>
      <c r="G61" s="217"/>
      <c r="H61" s="218"/>
      <c r="I61" s="218"/>
      <c r="J61" s="218"/>
      <c r="K61" s="218"/>
      <c r="L61" s="219"/>
      <c r="M61" s="188"/>
      <c r="N61" s="211" t="s">
        <v>2157</v>
      </c>
      <c r="O61" s="206"/>
      <c r="P61" s="206"/>
      <c r="Q61" s="206"/>
      <c r="R61" s="206"/>
      <c r="S61" s="206"/>
      <c r="T61" s="206"/>
    </row>
    <row r="62" spans="3:20" s="189" customFormat="1" ht="12" customHeight="1">
      <c r="C62" s="188"/>
      <c r="D62" s="220"/>
      <c r="E62" s="216" t="s">
        <v>334</v>
      </c>
      <c r="F62" s="217"/>
      <c r="G62" s="217"/>
      <c r="H62" s="218"/>
      <c r="I62" s="218"/>
      <c r="J62" s="218"/>
      <c r="K62" s="218"/>
      <c r="L62" s="219"/>
      <c r="M62" s="188"/>
      <c r="N62" s="206"/>
      <c r="O62" s="206"/>
      <c r="P62" s="206"/>
      <c r="Q62" s="206"/>
      <c r="R62" s="206"/>
      <c r="S62" s="206"/>
      <c r="T62" s="221" t="s">
        <v>2179</v>
      </c>
    </row>
    <row r="63" spans="3:20" s="189" customFormat="1" ht="12" customHeight="1">
      <c r="C63" s="188"/>
      <c r="D63" s="212" t="s">
        <v>397</v>
      </c>
      <c r="E63" s="213" t="s">
        <v>501</v>
      </c>
      <c r="F63" s="199" t="s">
        <v>2177</v>
      </c>
      <c r="G63" s="199" t="s">
        <v>243</v>
      </c>
      <c r="H63" s="210">
        <f>SUM(I63:L63)</f>
        <v>11.569869623655913</v>
      </c>
      <c r="I63" s="210">
        <f>SUM(I64:I68)</f>
        <v>1.4006559139784946</v>
      </c>
      <c r="J63" s="210">
        <f>SUM(J64:J68)</f>
        <v>7.8147594086021499</v>
      </c>
      <c r="K63" s="210">
        <f>SUM(K64:K68)</f>
        <v>2.3544543010752688</v>
      </c>
      <c r="L63" s="210">
        <f>SUM(L64:L68)</f>
        <v>0</v>
      </c>
      <c r="M63" s="188"/>
      <c r="N63" s="206"/>
      <c r="O63" s="206"/>
      <c r="P63" s="206"/>
      <c r="Q63" s="206"/>
      <c r="R63" s="206"/>
      <c r="S63" s="206"/>
      <c r="T63" s="211" t="s">
        <v>2156</v>
      </c>
    </row>
    <row r="64" spans="3:20" s="189" customFormat="1" ht="12" hidden="1" customHeight="1">
      <c r="C64" s="188"/>
      <c r="D64" s="215"/>
      <c r="E64" s="216"/>
      <c r="F64" s="217"/>
      <c r="G64" s="217"/>
      <c r="H64" s="218"/>
      <c r="I64" s="218"/>
      <c r="J64" s="218"/>
      <c r="K64" s="218"/>
      <c r="L64" s="219"/>
      <c r="M64" s="188"/>
      <c r="N64" s="211" t="s">
        <v>2157</v>
      </c>
      <c r="O64" s="206"/>
      <c r="P64" s="206"/>
      <c r="Q64" s="206"/>
      <c r="R64" s="206"/>
      <c r="S64" s="206"/>
      <c r="T64" s="206"/>
    </row>
    <row r="65" spans="3:20" s="188" customFormat="1" ht="12" customHeight="1">
      <c r="C65" s="222" t="s">
        <v>2160</v>
      </c>
      <c r="D65" s="212" t="str">
        <f>"12.4."&amp;N65</f>
        <v>12.4.1</v>
      </c>
      <c r="E65" s="223" t="s">
        <v>2047</v>
      </c>
      <c r="F65" s="199" t="s">
        <v>2177</v>
      </c>
      <c r="G65" s="199" t="s">
        <v>243</v>
      </c>
      <c r="H65" s="210">
        <f>SUM(I65:L65)</f>
        <v>10.996025537634408</v>
      </c>
      <c r="I65" s="214">
        <f>I25/744</f>
        <v>1.4006559139784946</v>
      </c>
      <c r="J65" s="214">
        <f>J25/744</f>
        <v>7.8147594086021499</v>
      </c>
      <c r="K65" s="214">
        <f>K25/744</f>
        <v>1.7806102150537633</v>
      </c>
      <c r="L65" s="214"/>
      <c r="N65" s="211" t="s">
        <v>370</v>
      </c>
      <c r="O65" s="224" t="s">
        <v>2047</v>
      </c>
      <c r="P65" s="224" t="s">
        <v>2161</v>
      </c>
      <c r="Q65" s="224" t="s">
        <v>1842</v>
      </c>
      <c r="R65" s="224" t="s">
        <v>1438</v>
      </c>
      <c r="S65" s="211" t="s">
        <v>2162</v>
      </c>
      <c r="T65" s="211" t="s">
        <v>2180</v>
      </c>
    </row>
    <row r="66" spans="3:20" s="188" customFormat="1" ht="12" customHeight="1">
      <c r="C66" s="222" t="s">
        <v>2160</v>
      </c>
      <c r="D66" s="212" t="str">
        <f>"12.4."&amp;N66</f>
        <v>12.4.2</v>
      </c>
      <c r="E66" s="223" t="s">
        <v>1467</v>
      </c>
      <c r="F66" s="199" t="s">
        <v>2177</v>
      </c>
      <c r="G66" s="199" t="s">
        <v>243</v>
      </c>
      <c r="H66" s="210">
        <f>SUM(I66:L66)</f>
        <v>0.43959677419354837</v>
      </c>
      <c r="I66" s="214"/>
      <c r="J66" s="214"/>
      <c r="K66" s="214">
        <f>K26/744</f>
        <v>0.43959677419354837</v>
      </c>
      <c r="L66" s="214"/>
      <c r="N66" s="211" t="s">
        <v>375</v>
      </c>
      <c r="O66" s="224" t="s">
        <v>1467</v>
      </c>
      <c r="P66" s="224" t="s">
        <v>2164</v>
      </c>
      <c r="Q66" s="224" t="s">
        <v>1468</v>
      </c>
      <c r="R66" s="224" t="s">
        <v>1438</v>
      </c>
      <c r="S66" s="211" t="s">
        <v>2162</v>
      </c>
      <c r="T66" s="211" t="s">
        <v>2180</v>
      </c>
    </row>
    <row r="67" spans="3:20" s="188" customFormat="1" ht="12" customHeight="1">
      <c r="C67" s="222" t="s">
        <v>2160</v>
      </c>
      <c r="D67" s="212" t="str">
        <f>"12.4."&amp;N67</f>
        <v>12.4.3</v>
      </c>
      <c r="E67" s="223" t="s">
        <v>1713</v>
      </c>
      <c r="F67" s="199" t="s">
        <v>2177</v>
      </c>
      <c r="G67" s="199" t="s">
        <v>243</v>
      </c>
      <c r="H67" s="210">
        <f>SUM(I67:L67)</f>
        <v>0.13424731182795699</v>
      </c>
      <c r="I67" s="214"/>
      <c r="J67" s="214"/>
      <c r="K67" s="214">
        <f>K27/744</f>
        <v>0.13424731182795699</v>
      </c>
      <c r="L67" s="214"/>
      <c r="N67" s="211" t="s">
        <v>380</v>
      </c>
      <c r="O67" s="224" t="s">
        <v>1713</v>
      </c>
      <c r="P67" s="224" t="s">
        <v>2165</v>
      </c>
      <c r="Q67" s="224" t="s">
        <v>1714</v>
      </c>
      <c r="R67" s="224" t="s">
        <v>1446</v>
      </c>
      <c r="S67" s="211" t="s">
        <v>2162</v>
      </c>
      <c r="T67" s="211" t="s">
        <v>2180</v>
      </c>
    </row>
    <row r="68" spans="3:20" ht="12" customHeight="1">
      <c r="D68" s="220"/>
      <c r="E68" s="216" t="s">
        <v>334</v>
      </c>
      <c r="F68" s="217"/>
      <c r="G68" s="217"/>
      <c r="H68" s="218"/>
      <c r="I68" s="218"/>
      <c r="J68" s="218"/>
      <c r="K68" s="218"/>
      <c r="L68" s="219"/>
      <c r="N68" s="206"/>
      <c r="O68" s="206"/>
      <c r="P68" s="206"/>
      <c r="Q68" s="206"/>
      <c r="R68" s="206"/>
      <c r="S68" s="206"/>
      <c r="T68" s="221" t="s">
        <v>2181</v>
      </c>
    </row>
    <row r="69" spans="3:20" ht="12" customHeight="1">
      <c r="D69" s="207" t="s">
        <v>398</v>
      </c>
      <c r="E69" s="208" t="s">
        <v>157</v>
      </c>
      <c r="F69" s="209" t="s">
        <v>2177</v>
      </c>
      <c r="G69" s="209" t="s">
        <v>244</v>
      </c>
      <c r="H69" s="210">
        <f t="shared" ref="H69:H81" si="2">SUM(I69:L69)</f>
        <v>3.6921868279569865</v>
      </c>
      <c r="I69" s="210">
        <f>SUM(I71,I72,I73)</f>
        <v>0</v>
      </c>
      <c r="J69" s="210">
        <f>SUM(J70,J72,J73)</f>
        <v>0</v>
      </c>
      <c r="K69" s="210">
        <f>SUM(K70,K71,K73)</f>
        <v>2.4781249999999986</v>
      </c>
      <c r="L69" s="210">
        <f>SUM(L70,L71,L72)</f>
        <v>1.2140618279569879</v>
      </c>
      <c r="N69" s="206"/>
      <c r="O69" s="206"/>
      <c r="P69" s="206"/>
      <c r="Q69" s="206"/>
      <c r="R69" s="206"/>
      <c r="S69" s="206"/>
      <c r="T69" s="211" t="s">
        <v>2156</v>
      </c>
    </row>
    <row r="70" spans="3:20" ht="12" customHeight="1">
      <c r="D70" s="212" t="s">
        <v>399</v>
      </c>
      <c r="E70" s="213" t="s">
        <v>134</v>
      </c>
      <c r="F70" s="199" t="s">
        <v>2177</v>
      </c>
      <c r="G70" s="199" t="s">
        <v>245</v>
      </c>
      <c r="H70" s="210">
        <f t="shared" si="2"/>
        <v>1.2686626344086021</v>
      </c>
      <c r="I70" s="225"/>
      <c r="J70" s="214"/>
      <c r="K70" s="214">
        <f>K30/744</f>
        <v>1.2686626344086021</v>
      </c>
      <c r="L70" s="214"/>
      <c r="N70" s="206"/>
      <c r="O70" s="206"/>
      <c r="P70" s="206"/>
      <c r="Q70" s="206"/>
      <c r="R70" s="206"/>
      <c r="S70" s="206"/>
      <c r="T70" s="211" t="s">
        <v>2156</v>
      </c>
    </row>
    <row r="71" spans="3:20" ht="12" customHeight="1">
      <c r="D71" s="212" t="s">
        <v>400</v>
      </c>
      <c r="E71" s="213" t="s">
        <v>135</v>
      </c>
      <c r="F71" s="199" t="s">
        <v>2177</v>
      </c>
      <c r="G71" s="199" t="s">
        <v>246</v>
      </c>
      <c r="H71" s="210">
        <f t="shared" si="2"/>
        <v>1.2094623655913967</v>
      </c>
      <c r="I71" s="214"/>
      <c r="J71" s="225"/>
      <c r="K71" s="214">
        <f>K31/744</f>
        <v>1.2094623655913967</v>
      </c>
      <c r="L71" s="214"/>
      <c r="N71" s="206"/>
      <c r="O71" s="206"/>
      <c r="P71" s="206"/>
      <c r="Q71" s="206"/>
      <c r="R71" s="206"/>
      <c r="S71" s="206"/>
      <c r="T71" s="211" t="s">
        <v>2156</v>
      </c>
    </row>
    <row r="72" spans="3:20" ht="12" customHeight="1">
      <c r="D72" s="212" t="s">
        <v>401</v>
      </c>
      <c r="E72" s="213" t="s">
        <v>136</v>
      </c>
      <c r="F72" s="199" t="s">
        <v>2177</v>
      </c>
      <c r="G72" s="199" t="s">
        <v>247</v>
      </c>
      <c r="H72" s="210">
        <f t="shared" si="2"/>
        <v>1.2140618279569879</v>
      </c>
      <c r="I72" s="214"/>
      <c r="J72" s="214"/>
      <c r="K72" s="225"/>
      <c r="L72" s="214">
        <f>L32/744</f>
        <v>1.2140618279569879</v>
      </c>
      <c r="N72" s="206"/>
      <c r="O72" s="206"/>
      <c r="P72" s="206"/>
      <c r="Q72" s="206"/>
      <c r="R72" s="206"/>
      <c r="S72" s="206"/>
      <c r="T72" s="211" t="s">
        <v>2156</v>
      </c>
    </row>
    <row r="73" spans="3:20" ht="12" customHeight="1">
      <c r="D73" s="212" t="s">
        <v>402</v>
      </c>
      <c r="E73" s="213" t="s">
        <v>158</v>
      </c>
      <c r="F73" s="199" t="s">
        <v>2177</v>
      </c>
      <c r="G73" s="199" t="s">
        <v>248</v>
      </c>
      <c r="H73" s="210">
        <f t="shared" si="2"/>
        <v>0</v>
      </c>
      <c r="I73" s="214"/>
      <c r="J73" s="214"/>
      <c r="K73" s="214"/>
      <c r="L73" s="225"/>
      <c r="N73" s="206"/>
      <c r="O73" s="206"/>
      <c r="P73" s="206"/>
      <c r="Q73" s="206"/>
      <c r="R73" s="206"/>
      <c r="S73" s="206"/>
      <c r="T73" s="211" t="s">
        <v>2156</v>
      </c>
    </row>
    <row r="74" spans="3:20" ht="12" customHeight="1">
      <c r="D74" s="207" t="s">
        <v>403</v>
      </c>
      <c r="E74" s="208" t="s">
        <v>161</v>
      </c>
      <c r="F74" s="209" t="s">
        <v>2177</v>
      </c>
      <c r="G74" s="209" t="s">
        <v>249</v>
      </c>
      <c r="H74" s="210">
        <f t="shared" si="2"/>
        <v>0</v>
      </c>
      <c r="I74" s="214"/>
      <c r="J74" s="214"/>
      <c r="K74" s="214"/>
      <c r="L74" s="214"/>
      <c r="N74" s="206"/>
      <c r="O74" s="206"/>
      <c r="P74" s="206"/>
      <c r="Q74" s="206"/>
      <c r="R74" s="206"/>
      <c r="S74" s="206"/>
      <c r="T74" s="211" t="s">
        <v>2156</v>
      </c>
    </row>
    <row r="75" spans="3:20" ht="12" customHeight="1">
      <c r="D75" s="207" t="s">
        <v>404</v>
      </c>
      <c r="E75" s="208" t="s">
        <v>502</v>
      </c>
      <c r="F75" s="209" t="s">
        <v>2177</v>
      </c>
      <c r="G75" s="209" t="s">
        <v>250</v>
      </c>
      <c r="H75" s="210">
        <f t="shared" si="2"/>
        <v>11.096912634408602</v>
      </c>
      <c r="I75" s="210">
        <f>SUM(I76,I78,I81,I85)</f>
        <v>0</v>
      </c>
      <c r="J75" s="210">
        <f>SUM(J76,J78,J81,J85)</f>
        <v>6.484053763440861</v>
      </c>
      <c r="K75" s="210">
        <f>SUM(K76,K78,K81,K85)</f>
        <v>3.4479072580645163</v>
      </c>
      <c r="L75" s="210">
        <f>SUM(L76,L78,L81,L85)</f>
        <v>1.1649516129032258</v>
      </c>
      <c r="N75" s="206"/>
      <c r="O75" s="206"/>
      <c r="P75" s="206"/>
      <c r="Q75" s="206"/>
      <c r="R75" s="206"/>
      <c r="S75" s="206"/>
      <c r="T75" s="211" t="s">
        <v>2156</v>
      </c>
    </row>
    <row r="76" spans="3:20" ht="24" customHeight="1">
      <c r="D76" s="212" t="s">
        <v>405</v>
      </c>
      <c r="E76" s="213" t="s">
        <v>2167</v>
      </c>
      <c r="F76" s="199" t="s">
        <v>2177</v>
      </c>
      <c r="G76" s="199" t="s">
        <v>251</v>
      </c>
      <c r="H76" s="210">
        <f t="shared" si="2"/>
        <v>0</v>
      </c>
      <c r="I76" s="214"/>
      <c r="J76" s="214"/>
      <c r="K76" s="214"/>
      <c r="L76" s="214"/>
      <c r="N76" s="206"/>
      <c r="O76" s="206"/>
      <c r="P76" s="206"/>
      <c r="Q76" s="206"/>
      <c r="R76" s="206"/>
      <c r="S76" s="206"/>
      <c r="T76" s="211" t="s">
        <v>2156</v>
      </c>
    </row>
    <row r="77" spans="3:20" ht="12" customHeight="1">
      <c r="D77" s="212" t="s">
        <v>489</v>
      </c>
      <c r="E77" s="226" t="s">
        <v>2168</v>
      </c>
      <c r="F77" s="199" t="s">
        <v>2177</v>
      </c>
      <c r="G77" s="199" t="s">
        <v>252</v>
      </c>
      <c r="H77" s="210">
        <f t="shared" si="2"/>
        <v>0</v>
      </c>
      <c r="I77" s="214"/>
      <c r="J77" s="214"/>
      <c r="K77" s="214"/>
      <c r="L77" s="214"/>
      <c r="N77" s="206"/>
      <c r="O77" s="206"/>
      <c r="P77" s="206"/>
      <c r="Q77" s="206"/>
      <c r="R77" s="206"/>
      <c r="S77" s="206"/>
      <c r="T77" s="211" t="s">
        <v>2156</v>
      </c>
    </row>
    <row r="78" spans="3:20" ht="12" customHeight="1">
      <c r="D78" s="212" t="s">
        <v>406</v>
      </c>
      <c r="E78" s="213" t="s">
        <v>221</v>
      </c>
      <c r="F78" s="199" t="s">
        <v>2177</v>
      </c>
      <c r="G78" s="199" t="s">
        <v>253</v>
      </c>
      <c r="H78" s="210">
        <f t="shared" si="2"/>
        <v>5.6025860215053775</v>
      </c>
      <c r="I78" s="214"/>
      <c r="J78" s="214">
        <f>J38/744</f>
        <v>0.98972715053763494</v>
      </c>
      <c r="K78" s="214">
        <f>K38/744</f>
        <v>3.4479072580645163</v>
      </c>
      <c r="L78" s="214">
        <f>L38/744</f>
        <v>1.1649516129032258</v>
      </c>
      <c r="N78" s="206"/>
      <c r="O78" s="206"/>
      <c r="P78" s="206"/>
      <c r="Q78" s="206"/>
      <c r="R78" s="206"/>
      <c r="S78" s="206"/>
      <c r="T78" s="211" t="s">
        <v>2156</v>
      </c>
    </row>
    <row r="79" spans="3:20" ht="12" customHeight="1">
      <c r="D79" s="212" t="s">
        <v>490</v>
      </c>
      <c r="E79" s="226" t="s">
        <v>504</v>
      </c>
      <c r="F79" s="199" t="s">
        <v>2177</v>
      </c>
      <c r="G79" s="199" t="s">
        <v>254</v>
      </c>
      <c r="H79" s="210">
        <f t="shared" si="2"/>
        <v>0</v>
      </c>
      <c r="I79" s="214"/>
      <c r="J79" s="214"/>
      <c r="K79" s="214"/>
      <c r="L79" s="214"/>
      <c r="N79" s="206"/>
      <c r="O79" s="206"/>
      <c r="P79" s="206"/>
      <c r="Q79" s="206"/>
      <c r="R79" s="206"/>
      <c r="S79" s="206"/>
      <c r="T79" s="211" t="s">
        <v>2156</v>
      </c>
    </row>
    <row r="80" spans="3:20" ht="12" customHeight="1">
      <c r="D80" s="212" t="s">
        <v>491</v>
      </c>
      <c r="E80" s="227" t="s">
        <v>2169</v>
      </c>
      <c r="F80" s="199" t="s">
        <v>2177</v>
      </c>
      <c r="G80" s="199" t="s">
        <v>255</v>
      </c>
      <c r="H80" s="210">
        <f t="shared" si="2"/>
        <v>0</v>
      </c>
      <c r="I80" s="214"/>
      <c r="J80" s="214"/>
      <c r="K80" s="214"/>
      <c r="L80" s="214"/>
      <c r="N80" s="206"/>
      <c r="O80" s="206"/>
      <c r="P80" s="206"/>
      <c r="Q80" s="206"/>
      <c r="R80" s="206"/>
      <c r="S80" s="206"/>
      <c r="T80" s="211" t="s">
        <v>2156</v>
      </c>
    </row>
    <row r="81" spans="3:20" ht="12" customHeight="1">
      <c r="D81" s="212" t="s">
        <v>407</v>
      </c>
      <c r="E81" s="213" t="s">
        <v>505</v>
      </c>
      <c r="F81" s="199" t="s">
        <v>2177</v>
      </c>
      <c r="G81" s="199" t="s">
        <v>256</v>
      </c>
      <c r="H81" s="210">
        <f t="shared" si="2"/>
        <v>5.494326612903226</v>
      </c>
      <c r="I81" s="210">
        <f>SUM(I82:I84)</f>
        <v>0</v>
      </c>
      <c r="J81" s="210">
        <f>SUM(J82:J84)</f>
        <v>5.494326612903226</v>
      </c>
      <c r="K81" s="210">
        <f>SUM(K82:K84)</f>
        <v>0</v>
      </c>
      <c r="L81" s="210">
        <f>SUM(L82:L84)</f>
        <v>0</v>
      </c>
      <c r="N81" s="206"/>
      <c r="O81" s="206"/>
      <c r="P81" s="206"/>
      <c r="Q81" s="206"/>
      <c r="R81" s="206"/>
      <c r="S81" s="206"/>
      <c r="T81" s="211" t="s">
        <v>2156</v>
      </c>
    </row>
    <row r="82" spans="3:20" ht="12" hidden="1" customHeight="1">
      <c r="D82" s="215"/>
      <c r="E82" s="216"/>
      <c r="F82" s="217"/>
      <c r="G82" s="217"/>
      <c r="H82" s="218"/>
      <c r="I82" s="218"/>
      <c r="J82" s="218"/>
      <c r="K82" s="218"/>
      <c r="L82" s="219"/>
      <c r="N82" s="211" t="s">
        <v>2157</v>
      </c>
      <c r="O82" s="206"/>
      <c r="P82" s="206"/>
      <c r="Q82" s="206"/>
      <c r="R82" s="206"/>
      <c r="S82" s="206"/>
      <c r="T82" s="206"/>
    </row>
    <row r="83" spans="3:20" s="188" customFormat="1" ht="12" customHeight="1">
      <c r="C83" s="222" t="s">
        <v>2160</v>
      </c>
      <c r="D83" s="212" t="str">
        <f>"15.3."&amp;N83</f>
        <v>15.3.1</v>
      </c>
      <c r="E83" s="223" t="s">
        <v>1467</v>
      </c>
      <c r="F83" s="199" t="s">
        <v>2177</v>
      </c>
      <c r="G83" s="199" t="s">
        <v>256</v>
      </c>
      <c r="H83" s="210">
        <f>SUM(I83:L83)</f>
        <v>5.494326612903226</v>
      </c>
      <c r="I83" s="214"/>
      <c r="J83" s="214">
        <f>J43/744</f>
        <v>5.494326612903226</v>
      </c>
      <c r="K83" s="214"/>
      <c r="L83" s="214"/>
      <c r="N83" s="211" t="s">
        <v>370</v>
      </c>
      <c r="O83" s="224" t="s">
        <v>1467</v>
      </c>
      <c r="P83" s="224" t="s">
        <v>2164</v>
      </c>
      <c r="Q83" s="224" t="s">
        <v>1468</v>
      </c>
      <c r="R83" s="224" t="s">
        <v>1438</v>
      </c>
      <c r="S83" s="211" t="s">
        <v>2162</v>
      </c>
      <c r="T83" s="211" t="s">
        <v>2182</v>
      </c>
    </row>
    <row r="84" spans="3:20" ht="12" customHeight="1">
      <c r="D84" s="220"/>
      <c r="E84" s="216" t="s">
        <v>334</v>
      </c>
      <c r="F84" s="217"/>
      <c r="G84" s="217"/>
      <c r="H84" s="218"/>
      <c r="I84" s="218"/>
      <c r="J84" s="218"/>
      <c r="K84" s="218"/>
      <c r="L84" s="219"/>
      <c r="N84" s="206"/>
      <c r="O84" s="206"/>
      <c r="P84" s="206"/>
      <c r="Q84" s="206"/>
      <c r="R84" s="206"/>
      <c r="S84" s="206"/>
      <c r="T84" s="221" t="s">
        <v>2183</v>
      </c>
    </row>
    <row r="85" spans="3:20" ht="12" customHeight="1">
      <c r="D85" s="212" t="s">
        <v>408</v>
      </c>
      <c r="E85" s="213" t="s">
        <v>2172</v>
      </c>
      <c r="F85" s="199" t="s">
        <v>2177</v>
      </c>
      <c r="G85" s="199" t="s">
        <v>257</v>
      </c>
      <c r="H85" s="210">
        <f t="shared" ref="H85:H93" si="3">SUM(I85:L85)</f>
        <v>0</v>
      </c>
      <c r="I85" s="214"/>
      <c r="J85" s="214"/>
      <c r="K85" s="214"/>
      <c r="L85" s="214"/>
      <c r="N85" s="206"/>
      <c r="O85" s="206"/>
      <c r="P85" s="206"/>
      <c r="Q85" s="206"/>
      <c r="R85" s="206"/>
      <c r="S85" s="206"/>
      <c r="T85" s="211" t="s">
        <v>2156</v>
      </c>
    </row>
    <row r="86" spans="3:20" ht="12" customHeight="1">
      <c r="D86" s="207" t="s">
        <v>409</v>
      </c>
      <c r="E86" s="208" t="s">
        <v>159</v>
      </c>
      <c r="F86" s="209" t="s">
        <v>2177</v>
      </c>
      <c r="G86" s="209" t="s">
        <v>258</v>
      </c>
      <c r="H86" s="210">
        <f t="shared" si="3"/>
        <v>3.6921868279569865</v>
      </c>
      <c r="I86" s="214">
        <f>I46/744</f>
        <v>1.2686626344086021</v>
      </c>
      <c r="J86" s="214">
        <f>J46/744</f>
        <v>1.2094623655913967</v>
      </c>
      <c r="K86" s="214">
        <f>K46/744</f>
        <v>1.2140618279569879</v>
      </c>
      <c r="L86" s="214"/>
      <c r="N86" s="206"/>
      <c r="O86" s="206"/>
      <c r="P86" s="206"/>
      <c r="Q86" s="206"/>
      <c r="R86" s="206"/>
      <c r="S86" s="206"/>
      <c r="T86" s="211" t="s">
        <v>2156</v>
      </c>
    </row>
    <row r="87" spans="3:20" ht="12" customHeight="1">
      <c r="D87" s="207" t="s">
        <v>410</v>
      </c>
      <c r="E87" s="208" t="s">
        <v>160</v>
      </c>
      <c r="F87" s="209" t="s">
        <v>2177</v>
      </c>
      <c r="G87" s="209" t="s">
        <v>259</v>
      </c>
      <c r="H87" s="210">
        <f t="shared" si="3"/>
        <v>0</v>
      </c>
      <c r="I87" s="214"/>
      <c r="J87" s="214"/>
      <c r="K87" s="214"/>
      <c r="L87" s="214"/>
      <c r="N87" s="206"/>
      <c r="O87" s="206"/>
      <c r="P87" s="206"/>
      <c r="Q87" s="206"/>
      <c r="R87" s="206"/>
      <c r="S87" s="206"/>
      <c r="T87" s="211" t="s">
        <v>2156</v>
      </c>
    </row>
    <row r="88" spans="3:20" ht="12" customHeight="1">
      <c r="D88" s="207" t="s">
        <v>411</v>
      </c>
      <c r="E88" s="208" t="s">
        <v>162</v>
      </c>
      <c r="F88" s="209" t="s">
        <v>2177</v>
      </c>
      <c r="G88" s="209" t="s">
        <v>260</v>
      </c>
      <c r="H88" s="210">
        <f t="shared" si="3"/>
        <v>0</v>
      </c>
      <c r="I88" s="214"/>
      <c r="J88" s="214"/>
      <c r="K88" s="214"/>
      <c r="L88" s="214"/>
      <c r="N88" s="206"/>
      <c r="O88" s="206"/>
      <c r="P88" s="206"/>
      <c r="Q88" s="206"/>
      <c r="R88" s="206"/>
      <c r="S88" s="206"/>
      <c r="T88" s="211" t="s">
        <v>2156</v>
      </c>
    </row>
    <row r="89" spans="3:20" ht="12" customHeight="1">
      <c r="D89" s="207" t="s">
        <v>412</v>
      </c>
      <c r="E89" s="208" t="s">
        <v>2173</v>
      </c>
      <c r="F89" s="209" t="s">
        <v>2177</v>
      </c>
      <c r="G89" s="209" t="s">
        <v>261</v>
      </c>
      <c r="H89" s="210">
        <f t="shared" si="3"/>
        <v>0.47295698924731183</v>
      </c>
      <c r="I89" s="214">
        <f>I49/744</f>
        <v>0.13199327956989249</v>
      </c>
      <c r="J89" s="214">
        <f>J49/744</f>
        <v>0.12124327956989248</v>
      </c>
      <c r="K89" s="214">
        <f>K49/744</f>
        <v>0.17061021505376345</v>
      </c>
      <c r="L89" s="214">
        <f>L49/744</f>
        <v>4.9110215053763437E-2</v>
      </c>
      <c r="N89" s="206"/>
      <c r="O89" s="206"/>
      <c r="P89" s="206"/>
      <c r="Q89" s="206"/>
      <c r="R89" s="206"/>
      <c r="S89" s="206"/>
      <c r="T89" s="211" t="s">
        <v>2156</v>
      </c>
    </row>
    <row r="90" spans="3:20" ht="12" customHeight="1">
      <c r="D90" s="212" t="s">
        <v>413</v>
      </c>
      <c r="E90" s="213" t="s">
        <v>233</v>
      </c>
      <c r="F90" s="199" t="s">
        <v>2177</v>
      </c>
      <c r="G90" s="199" t="s">
        <v>262</v>
      </c>
      <c r="H90" s="210">
        <f t="shared" si="3"/>
        <v>0</v>
      </c>
      <c r="I90" s="214"/>
      <c r="J90" s="214"/>
      <c r="K90" s="214"/>
      <c r="L90" s="214"/>
      <c r="N90" s="206"/>
      <c r="O90" s="206"/>
      <c r="P90" s="206"/>
      <c r="Q90" s="206"/>
      <c r="R90" s="206"/>
      <c r="S90" s="206"/>
      <c r="T90" s="211" t="s">
        <v>2156</v>
      </c>
    </row>
    <row r="91" spans="3:20" ht="12" customHeight="1">
      <c r="D91" s="207" t="s">
        <v>414</v>
      </c>
      <c r="E91" s="208" t="s">
        <v>2174</v>
      </c>
      <c r="F91" s="209" t="s">
        <v>2177</v>
      </c>
      <c r="G91" s="209" t="s">
        <v>263</v>
      </c>
      <c r="H91" s="210">
        <f t="shared" si="3"/>
        <v>0.16775672043010753</v>
      </c>
      <c r="I91" s="214"/>
      <c r="J91" s="214">
        <f>J51/744</f>
        <v>4.3240972258064524E-2</v>
      </c>
      <c r="K91" s="214">
        <f>K51/744</f>
        <v>6.2479312956989247E-2</v>
      </c>
      <c r="L91" s="214">
        <f>L51/744</f>
        <v>6.2036435215053767E-2</v>
      </c>
      <c r="N91" s="206"/>
      <c r="O91" s="206"/>
      <c r="P91" s="206"/>
      <c r="Q91" s="206"/>
      <c r="R91" s="206"/>
      <c r="S91" s="206"/>
      <c r="T91" s="211" t="s">
        <v>2156</v>
      </c>
    </row>
    <row r="92" spans="3:20" ht="24" customHeight="1">
      <c r="D92" s="207" t="s">
        <v>415</v>
      </c>
      <c r="E92" s="208" t="s">
        <v>2175</v>
      </c>
      <c r="F92" s="209" t="s">
        <v>2177</v>
      </c>
      <c r="G92" s="209" t="s">
        <v>264</v>
      </c>
      <c r="H92" s="210">
        <f t="shared" si="3"/>
        <v>0.3052002688172043</v>
      </c>
      <c r="I92" s="210">
        <f>I89-I91</f>
        <v>0.13199327956989249</v>
      </c>
      <c r="J92" s="210">
        <f>J89-J91</f>
        <v>7.8002307311827945E-2</v>
      </c>
      <c r="K92" s="210">
        <f>K89-K91</f>
        <v>0.1081309020967742</v>
      </c>
      <c r="L92" s="210">
        <f>L89-L91</f>
        <v>-1.292622016129033E-2</v>
      </c>
      <c r="N92" s="206"/>
      <c r="O92" s="206"/>
      <c r="P92" s="206"/>
      <c r="Q92" s="206"/>
      <c r="R92" s="206"/>
      <c r="S92" s="206"/>
      <c r="T92" s="211" t="s">
        <v>2156</v>
      </c>
    </row>
    <row r="93" spans="3:20" ht="12" customHeight="1">
      <c r="D93" s="207" t="s">
        <v>416</v>
      </c>
      <c r="E93" s="208" t="s">
        <v>163</v>
      </c>
      <c r="F93" s="209" t="s">
        <v>2177</v>
      </c>
      <c r="G93" s="209" t="s">
        <v>265</v>
      </c>
      <c r="H93" s="210">
        <f t="shared" si="3"/>
        <v>0</v>
      </c>
      <c r="I93" s="210">
        <f>SUM(I55,I69,I74)-SUM(I75,I86:I89)</f>
        <v>0</v>
      </c>
      <c r="J93" s="210">
        <f>SUM(J55,J69,J74)-SUM(J75,J86:J89)</f>
        <v>0</v>
      </c>
      <c r="K93" s="210">
        <f>SUM(K55,K69,K74)-SUM(K75,K86:K89)</f>
        <v>0</v>
      </c>
      <c r="L93" s="210">
        <f>SUM(L55,L69,L74)-SUM(L75,L86:L89)</f>
        <v>0</v>
      </c>
      <c r="N93" s="206"/>
      <c r="O93" s="206"/>
      <c r="P93" s="206"/>
      <c r="Q93" s="206"/>
      <c r="R93" s="206"/>
      <c r="S93" s="206"/>
      <c r="T93" s="211" t="s">
        <v>2156</v>
      </c>
    </row>
    <row r="94" spans="3:20" ht="18" customHeight="1">
      <c r="D94" s="201" t="s">
        <v>2184</v>
      </c>
      <c r="E94" s="202"/>
      <c r="F94" s="202"/>
      <c r="G94" s="203"/>
      <c r="H94" s="204"/>
      <c r="I94" s="204"/>
      <c r="J94" s="204"/>
      <c r="K94" s="204"/>
      <c r="L94" s="205"/>
      <c r="N94" s="206"/>
      <c r="O94" s="206"/>
      <c r="P94" s="206"/>
      <c r="Q94" s="206"/>
      <c r="R94" s="206"/>
      <c r="S94" s="206"/>
      <c r="T94" s="206"/>
    </row>
    <row r="95" spans="3:20" ht="12" customHeight="1">
      <c r="D95" s="207" t="s">
        <v>418</v>
      </c>
      <c r="E95" s="208" t="s">
        <v>164</v>
      </c>
      <c r="F95" s="209" t="s">
        <v>2177</v>
      </c>
      <c r="G95" s="209" t="s">
        <v>266</v>
      </c>
      <c r="H95" s="210">
        <f>SUM(I95:L95)</f>
        <v>0</v>
      </c>
      <c r="I95" s="214"/>
      <c r="J95" s="214"/>
      <c r="K95" s="214"/>
      <c r="L95" s="214"/>
      <c r="N95" s="206"/>
      <c r="O95" s="206"/>
      <c r="P95" s="206"/>
      <c r="Q95" s="206"/>
      <c r="R95" s="206"/>
      <c r="S95" s="206"/>
      <c r="T95" s="211" t="s">
        <v>2156</v>
      </c>
    </row>
    <row r="96" spans="3:20" ht="12" customHeight="1">
      <c r="D96" s="207" t="s">
        <v>419</v>
      </c>
      <c r="E96" s="208" t="s">
        <v>165</v>
      </c>
      <c r="F96" s="209" t="s">
        <v>2177</v>
      </c>
      <c r="G96" s="209" t="s">
        <v>267</v>
      </c>
      <c r="H96" s="210">
        <f>SUM(I96:L96)</f>
        <v>56.423000000000002</v>
      </c>
      <c r="I96" s="214"/>
      <c r="J96" s="214">
        <v>56.423000000000002</v>
      </c>
      <c r="K96" s="214"/>
      <c r="L96" s="214"/>
      <c r="N96" s="206"/>
      <c r="O96" s="206"/>
      <c r="P96" s="206"/>
      <c r="Q96" s="206"/>
      <c r="R96" s="206"/>
      <c r="S96" s="206"/>
      <c r="T96" s="211" t="s">
        <v>2156</v>
      </c>
    </row>
    <row r="97" spans="3:20" s="189" customFormat="1" ht="12" customHeight="1">
      <c r="C97" s="188"/>
      <c r="D97" s="207" t="s">
        <v>420</v>
      </c>
      <c r="E97" s="208" t="s">
        <v>166</v>
      </c>
      <c r="F97" s="209" t="s">
        <v>2177</v>
      </c>
      <c r="G97" s="209" t="s">
        <v>268</v>
      </c>
      <c r="H97" s="210">
        <f>SUM(I97:L97)</f>
        <v>0</v>
      </c>
      <c r="I97" s="214"/>
      <c r="J97" s="214"/>
      <c r="K97" s="214"/>
      <c r="L97" s="214"/>
      <c r="M97" s="188"/>
      <c r="N97" s="206"/>
      <c r="O97" s="206"/>
      <c r="P97" s="206"/>
      <c r="Q97" s="206"/>
      <c r="R97" s="206"/>
      <c r="S97" s="206"/>
      <c r="T97" s="211" t="s">
        <v>2156</v>
      </c>
    </row>
    <row r="98" spans="3:20" s="189" customFormat="1" ht="18" customHeight="1">
      <c r="C98" s="188"/>
      <c r="D98" s="201" t="s">
        <v>2185</v>
      </c>
      <c r="E98" s="202"/>
      <c r="F98" s="202"/>
      <c r="G98" s="203"/>
      <c r="H98" s="204"/>
      <c r="I98" s="204"/>
      <c r="J98" s="204"/>
      <c r="K98" s="204"/>
      <c r="L98" s="205"/>
      <c r="M98" s="188"/>
      <c r="N98" s="206"/>
      <c r="O98" s="206"/>
      <c r="P98" s="206"/>
      <c r="Q98" s="206"/>
      <c r="R98" s="206"/>
      <c r="S98" s="206"/>
      <c r="T98" s="206"/>
    </row>
    <row r="99" spans="3:20" s="189" customFormat="1" ht="12" customHeight="1">
      <c r="C99" s="188"/>
      <c r="D99" s="207" t="s">
        <v>421</v>
      </c>
      <c r="E99" s="208" t="s">
        <v>2186</v>
      </c>
      <c r="F99" s="209" t="s">
        <v>2155</v>
      </c>
      <c r="G99" s="209" t="s">
        <v>269</v>
      </c>
      <c r="H99" s="210">
        <f t="shared" ref="H99:H130" si="4">SUM(I99:L99)</f>
        <v>0</v>
      </c>
      <c r="I99" s="210">
        <f>SUM(I100,I101)</f>
        <v>0</v>
      </c>
      <c r="J99" s="210">
        <f>SUM(J100,J101)</f>
        <v>0</v>
      </c>
      <c r="K99" s="210">
        <f>SUM(K100,K101)</f>
        <v>0</v>
      </c>
      <c r="L99" s="210">
        <f>SUM(L100,L101)</f>
        <v>0</v>
      </c>
      <c r="M99" s="188"/>
      <c r="N99" s="206"/>
      <c r="O99" s="206"/>
      <c r="P99" s="206"/>
      <c r="Q99" s="206"/>
      <c r="R99" s="206"/>
      <c r="S99" s="206"/>
      <c r="T99" s="211" t="s">
        <v>2156</v>
      </c>
    </row>
    <row r="100" spans="3:20" s="189" customFormat="1" ht="12" customHeight="1">
      <c r="C100" s="188"/>
      <c r="D100" s="212" t="s">
        <v>422</v>
      </c>
      <c r="E100" s="213" t="s">
        <v>167</v>
      </c>
      <c r="F100" s="199" t="s">
        <v>2155</v>
      </c>
      <c r="G100" s="199" t="s">
        <v>270</v>
      </c>
      <c r="H100" s="210">
        <f t="shared" si="4"/>
        <v>0</v>
      </c>
      <c r="I100" s="214"/>
      <c r="J100" s="214"/>
      <c r="K100" s="214"/>
      <c r="L100" s="214"/>
      <c r="M100" s="188"/>
      <c r="N100" s="206"/>
      <c r="O100" s="206"/>
      <c r="P100" s="206"/>
      <c r="Q100" s="206"/>
      <c r="R100" s="206"/>
      <c r="S100" s="206"/>
      <c r="T100" s="211" t="s">
        <v>2156</v>
      </c>
    </row>
    <row r="101" spans="3:20" s="189" customFormat="1" ht="12" customHeight="1">
      <c r="C101" s="188"/>
      <c r="D101" s="212" t="s">
        <v>423</v>
      </c>
      <c r="E101" s="213" t="s">
        <v>507</v>
      </c>
      <c r="F101" s="199" t="s">
        <v>2155</v>
      </c>
      <c r="G101" s="199" t="s">
        <v>271</v>
      </c>
      <c r="H101" s="210">
        <f t="shared" si="4"/>
        <v>0</v>
      </c>
      <c r="I101" s="210">
        <f>I104</f>
        <v>0</v>
      </c>
      <c r="J101" s="210">
        <f>J104</f>
        <v>0</v>
      </c>
      <c r="K101" s="210">
        <f>K104</f>
        <v>0</v>
      </c>
      <c r="L101" s="210">
        <f>L104</f>
        <v>0</v>
      </c>
      <c r="M101" s="188"/>
      <c r="N101" s="206"/>
      <c r="O101" s="206"/>
      <c r="P101" s="206"/>
      <c r="Q101" s="206"/>
      <c r="R101" s="206"/>
      <c r="S101" s="206"/>
      <c r="T101" s="211" t="s">
        <v>2156</v>
      </c>
    </row>
    <row r="102" spans="3:20" s="189" customFormat="1" ht="12" customHeight="1">
      <c r="C102" s="188"/>
      <c r="D102" s="212" t="s">
        <v>424</v>
      </c>
      <c r="E102" s="226" t="s">
        <v>519</v>
      </c>
      <c r="F102" s="199" t="s">
        <v>2177</v>
      </c>
      <c r="G102" s="199" t="s">
        <v>273</v>
      </c>
      <c r="H102" s="210">
        <f t="shared" si="4"/>
        <v>0</v>
      </c>
      <c r="I102" s="214"/>
      <c r="J102" s="214"/>
      <c r="K102" s="214"/>
      <c r="L102" s="214"/>
      <c r="M102" s="188"/>
      <c r="N102" s="206"/>
      <c r="O102" s="206"/>
      <c r="P102" s="206"/>
      <c r="Q102" s="206"/>
      <c r="R102" s="206"/>
      <c r="S102" s="206"/>
      <c r="T102" s="211" t="s">
        <v>2156</v>
      </c>
    </row>
    <row r="103" spans="3:20" s="189" customFormat="1" ht="12" customHeight="1">
      <c r="C103" s="188"/>
      <c r="D103" s="212" t="s">
        <v>425</v>
      </c>
      <c r="E103" s="227" t="s">
        <v>2187</v>
      </c>
      <c r="F103" s="199" t="s">
        <v>2177</v>
      </c>
      <c r="G103" s="199" t="s">
        <v>274</v>
      </c>
      <c r="H103" s="210">
        <f t="shared" si="4"/>
        <v>0</v>
      </c>
      <c r="I103" s="214"/>
      <c r="J103" s="214"/>
      <c r="K103" s="214"/>
      <c r="L103" s="214"/>
      <c r="M103" s="188"/>
      <c r="N103" s="206"/>
      <c r="O103" s="206"/>
      <c r="P103" s="206"/>
      <c r="Q103" s="206"/>
      <c r="R103" s="206"/>
      <c r="S103" s="206"/>
      <c r="T103" s="211" t="s">
        <v>2156</v>
      </c>
    </row>
    <row r="104" spans="3:20" s="189" customFormat="1" ht="12" customHeight="1">
      <c r="C104" s="188"/>
      <c r="D104" s="212" t="s">
        <v>426</v>
      </c>
      <c r="E104" s="226" t="s">
        <v>169</v>
      </c>
      <c r="F104" s="199" t="s">
        <v>2155</v>
      </c>
      <c r="G104" s="199" t="s">
        <v>275</v>
      </c>
      <c r="H104" s="210">
        <f t="shared" si="4"/>
        <v>0</v>
      </c>
      <c r="I104" s="214"/>
      <c r="J104" s="214"/>
      <c r="K104" s="214"/>
      <c r="L104" s="214"/>
      <c r="M104" s="188"/>
      <c r="N104" s="206"/>
      <c r="O104" s="206"/>
      <c r="P104" s="206"/>
      <c r="Q104" s="206"/>
      <c r="R104" s="206"/>
      <c r="S104" s="206"/>
      <c r="T104" s="211" t="s">
        <v>2156</v>
      </c>
    </row>
    <row r="105" spans="3:20" s="189" customFormat="1" ht="12" customHeight="1">
      <c r="C105" s="188"/>
      <c r="D105" s="207" t="s">
        <v>427</v>
      </c>
      <c r="E105" s="208" t="s">
        <v>2188</v>
      </c>
      <c r="F105" s="209" t="s">
        <v>2155</v>
      </c>
      <c r="G105" s="209" t="s">
        <v>277</v>
      </c>
      <c r="H105" s="210">
        <f t="shared" si="4"/>
        <v>0</v>
      </c>
      <c r="I105" s="210">
        <f>SUM(I106,I122)</f>
        <v>0</v>
      </c>
      <c r="J105" s="210">
        <f>SUM(J106,J122)</f>
        <v>0</v>
      </c>
      <c r="K105" s="210">
        <f>SUM(K106,K122)</f>
        <v>0</v>
      </c>
      <c r="L105" s="210">
        <f>SUM(L106,L122)</f>
        <v>0</v>
      </c>
      <c r="M105" s="188"/>
      <c r="N105" s="206"/>
      <c r="O105" s="206"/>
      <c r="P105" s="206"/>
      <c r="Q105" s="206"/>
      <c r="R105" s="206"/>
      <c r="S105" s="206"/>
      <c r="T105" s="211" t="s">
        <v>2156</v>
      </c>
    </row>
    <row r="106" spans="3:20" s="189" customFormat="1" ht="12" customHeight="1">
      <c r="C106" s="188"/>
      <c r="D106" s="212" t="s">
        <v>428</v>
      </c>
      <c r="E106" s="213" t="s">
        <v>279</v>
      </c>
      <c r="F106" s="199" t="s">
        <v>2155</v>
      </c>
      <c r="G106" s="199" t="s">
        <v>278</v>
      </c>
      <c r="H106" s="210">
        <f t="shared" si="4"/>
        <v>0</v>
      </c>
      <c r="I106" s="210">
        <f>SUM(I107:I108)</f>
        <v>0</v>
      </c>
      <c r="J106" s="210">
        <f>SUM(J107:J108)</f>
        <v>0</v>
      </c>
      <c r="K106" s="210">
        <f>SUM(K107:K108)</f>
        <v>0</v>
      </c>
      <c r="L106" s="210">
        <f>SUM(L107:L108)</f>
        <v>0</v>
      </c>
      <c r="M106" s="188"/>
      <c r="N106" s="206"/>
      <c r="O106" s="206"/>
      <c r="P106" s="206"/>
      <c r="Q106" s="206"/>
      <c r="R106" s="206"/>
      <c r="S106" s="206"/>
      <c r="T106" s="211" t="s">
        <v>2156</v>
      </c>
    </row>
    <row r="107" spans="3:20" s="189" customFormat="1" ht="12" customHeight="1">
      <c r="C107" s="188"/>
      <c r="D107" s="212" t="s">
        <v>429</v>
      </c>
      <c r="E107" s="226" t="s">
        <v>222</v>
      </c>
      <c r="F107" s="199" t="s">
        <v>2155</v>
      </c>
      <c r="G107" s="199" t="s">
        <v>280</v>
      </c>
      <c r="H107" s="210">
        <f t="shared" si="4"/>
        <v>0</v>
      </c>
      <c r="I107" s="214"/>
      <c r="J107" s="214"/>
      <c r="K107" s="214"/>
      <c r="L107" s="214"/>
      <c r="M107" s="188"/>
      <c r="N107" s="206"/>
      <c r="O107" s="206"/>
      <c r="P107" s="206"/>
      <c r="Q107" s="206"/>
      <c r="R107" s="206"/>
      <c r="S107" s="206"/>
      <c r="T107" s="211" t="s">
        <v>2156</v>
      </c>
    </row>
    <row r="108" spans="3:20" s="189" customFormat="1" ht="12" customHeight="1">
      <c r="C108" s="188"/>
      <c r="D108" s="212" t="s">
        <v>430</v>
      </c>
      <c r="E108" s="226" t="s">
        <v>511</v>
      </c>
      <c r="F108" s="199" t="s">
        <v>2155</v>
      </c>
      <c r="G108" s="199" t="s">
        <v>281</v>
      </c>
      <c r="H108" s="210">
        <f t="shared" si="4"/>
        <v>0</v>
      </c>
      <c r="I108" s="210">
        <f>SUM(I109,I112,I115,I118:I121)</f>
        <v>0</v>
      </c>
      <c r="J108" s="210">
        <f>SUM(J109,J112,J115,J118:J121)</f>
        <v>0</v>
      </c>
      <c r="K108" s="210">
        <f>SUM(K109,K112,K115,K118:K121)</f>
        <v>0</v>
      </c>
      <c r="L108" s="210">
        <f>SUM(L109,L112,L115,L118:L121)</f>
        <v>0</v>
      </c>
      <c r="M108" s="188"/>
      <c r="N108" s="206"/>
      <c r="O108" s="206"/>
      <c r="P108" s="206"/>
      <c r="Q108" s="206"/>
      <c r="R108" s="206"/>
      <c r="S108" s="206"/>
      <c r="T108" s="211" t="s">
        <v>2156</v>
      </c>
    </row>
    <row r="109" spans="3:20" s="189" customFormat="1" ht="36" customHeight="1">
      <c r="C109" s="188"/>
      <c r="D109" s="212" t="s">
        <v>431</v>
      </c>
      <c r="E109" s="227" t="s">
        <v>512</v>
      </c>
      <c r="F109" s="199" t="s">
        <v>2155</v>
      </c>
      <c r="G109" s="199" t="s">
        <v>282</v>
      </c>
      <c r="H109" s="210">
        <f t="shared" si="4"/>
        <v>0</v>
      </c>
      <c r="I109" s="210">
        <f>SUM(I110:I111)</f>
        <v>0</v>
      </c>
      <c r="J109" s="210">
        <f>SUM(J110:J111)</f>
        <v>0</v>
      </c>
      <c r="K109" s="210">
        <f>SUM(K110:K111)</f>
        <v>0</v>
      </c>
      <c r="L109" s="210">
        <f>SUM(L110:L111)</f>
        <v>0</v>
      </c>
      <c r="M109" s="188"/>
      <c r="N109" s="206"/>
      <c r="O109" s="206"/>
      <c r="P109" s="206"/>
      <c r="Q109" s="206"/>
      <c r="R109" s="206"/>
      <c r="S109" s="206"/>
      <c r="T109" s="211" t="s">
        <v>2156</v>
      </c>
    </row>
    <row r="110" spans="3:20" s="189" customFormat="1" ht="12" customHeight="1">
      <c r="C110" s="188"/>
      <c r="D110" s="212" t="s">
        <v>433</v>
      </c>
      <c r="E110" s="228" t="s">
        <v>283</v>
      </c>
      <c r="F110" s="199" t="s">
        <v>2155</v>
      </c>
      <c r="G110" s="199" t="s">
        <v>284</v>
      </c>
      <c r="H110" s="210">
        <f t="shared" si="4"/>
        <v>0</v>
      </c>
      <c r="I110" s="214"/>
      <c r="J110" s="214"/>
      <c r="K110" s="214"/>
      <c r="L110" s="214"/>
      <c r="M110" s="188"/>
      <c r="N110" s="206"/>
      <c r="O110" s="206"/>
      <c r="P110" s="206"/>
      <c r="Q110" s="206"/>
      <c r="R110" s="206"/>
      <c r="S110" s="206"/>
      <c r="T110" s="211" t="s">
        <v>2156</v>
      </c>
    </row>
    <row r="111" spans="3:20" s="189" customFormat="1" ht="12" customHeight="1">
      <c r="C111" s="188"/>
      <c r="D111" s="212" t="s">
        <v>434</v>
      </c>
      <c r="E111" s="228" t="s">
        <v>285</v>
      </c>
      <c r="F111" s="199" t="s">
        <v>2155</v>
      </c>
      <c r="G111" s="199" t="s">
        <v>286</v>
      </c>
      <c r="H111" s="210">
        <f t="shared" si="4"/>
        <v>0</v>
      </c>
      <c r="I111" s="214"/>
      <c r="J111" s="214"/>
      <c r="K111" s="214"/>
      <c r="L111" s="214"/>
      <c r="M111" s="188"/>
      <c r="N111" s="206"/>
      <c r="O111" s="206"/>
      <c r="P111" s="206"/>
      <c r="Q111" s="206"/>
      <c r="R111" s="206"/>
      <c r="S111" s="206"/>
      <c r="T111" s="211" t="s">
        <v>2156</v>
      </c>
    </row>
    <row r="112" spans="3:20" s="189" customFormat="1" ht="36" customHeight="1">
      <c r="C112" s="188"/>
      <c r="D112" s="212" t="s">
        <v>432</v>
      </c>
      <c r="E112" s="227" t="s">
        <v>513</v>
      </c>
      <c r="F112" s="199" t="s">
        <v>2155</v>
      </c>
      <c r="G112" s="199" t="s">
        <v>287</v>
      </c>
      <c r="H112" s="210">
        <f t="shared" si="4"/>
        <v>0</v>
      </c>
      <c r="I112" s="210">
        <f>SUM(I113:I114)</f>
        <v>0</v>
      </c>
      <c r="J112" s="210">
        <f>SUM(J113:J114)</f>
        <v>0</v>
      </c>
      <c r="K112" s="210">
        <f>SUM(K113:K114)</f>
        <v>0</v>
      </c>
      <c r="L112" s="210">
        <f>SUM(L113:L114)</f>
        <v>0</v>
      </c>
      <c r="M112" s="188"/>
      <c r="N112" s="206"/>
      <c r="O112" s="206"/>
      <c r="P112" s="206"/>
      <c r="Q112" s="206"/>
      <c r="R112" s="206"/>
      <c r="S112" s="206"/>
      <c r="T112" s="211" t="s">
        <v>2156</v>
      </c>
    </row>
    <row r="113" spans="3:20" s="189" customFormat="1" ht="12" customHeight="1">
      <c r="C113" s="188"/>
      <c r="D113" s="212" t="s">
        <v>435</v>
      </c>
      <c r="E113" s="228" t="s">
        <v>283</v>
      </c>
      <c r="F113" s="199" t="s">
        <v>2155</v>
      </c>
      <c r="G113" s="199" t="s">
        <v>288</v>
      </c>
      <c r="H113" s="210">
        <f t="shared" si="4"/>
        <v>0</v>
      </c>
      <c r="I113" s="214"/>
      <c r="J113" s="214"/>
      <c r="K113" s="214"/>
      <c r="L113" s="214"/>
      <c r="M113" s="188"/>
      <c r="N113" s="206"/>
      <c r="O113" s="206"/>
      <c r="P113" s="206"/>
      <c r="Q113" s="206"/>
      <c r="R113" s="206"/>
      <c r="S113" s="206"/>
      <c r="T113" s="211" t="s">
        <v>2156</v>
      </c>
    </row>
    <row r="114" spans="3:20" s="189" customFormat="1" ht="12" customHeight="1">
      <c r="C114" s="188"/>
      <c r="D114" s="212" t="s">
        <v>436</v>
      </c>
      <c r="E114" s="228" t="s">
        <v>285</v>
      </c>
      <c r="F114" s="199" t="s">
        <v>2155</v>
      </c>
      <c r="G114" s="199" t="s">
        <v>289</v>
      </c>
      <c r="H114" s="210">
        <f t="shared" si="4"/>
        <v>0</v>
      </c>
      <c r="I114" s="214"/>
      <c r="J114" s="214"/>
      <c r="K114" s="214"/>
      <c r="L114" s="214"/>
      <c r="M114" s="188"/>
      <c r="N114" s="206"/>
      <c r="O114" s="206"/>
      <c r="P114" s="206"/>
      <c r="Q114" s="206"/>
      <c r="R114" s="206"/>
      <c r="S114" s="206"/>
      <c r="T114" s="211" t="s">
        <v>2156</v>
      </c>
    </row>
    <row r="115" spans="3:20" s="189" customFormat="1" ht="24" customHeight="1">
      <c r="C115" s="188"/>
      <c r="D115" s="212" t="s">
        <v>437</v>
      </c>
      <c r="E115" s="227" t="s">
        <v>514</v>
      </c>
      <c r="F115" s="199" t="s">
        <v>2155</v>
      </c>
      <c r="G115" s="199" t="s">
        <v>290</v>
      </c>
      <c r="H115" s="210">
        <f t="shared" si="4"/>
        <v>0</v>
      </c>
      <c r="I115" s="210">
        <f>SUM(I116:I117)</f>
        <v>0</v>
      </c>
      <c r="J115" s="210">
        <f>SUM(J116:J117)</f>
        <v>0</v>
      </c>
      <c r="K115" s="210">
        <f>SUM(K116:K117)</f>
        <v>0</v>
      </c>
      <c r="L115" s="210">
        <f>SUM(L116:L117)</f>
        <v>0</v>
      </c>
      <c r="M115" s="188"/>
      <c r="N115" s="206"/>
      <c r="O115" s="206"/>
      <c r="P115" s="206"/>
      <c r="Q115" s="206"/>
      <c r="R115" s="206"/>
      <c r="S115" s="206"/>
      <c r="T115" s="211" t="s">
        <v>2156</v>
      </c>
    </row>
    <row r="116" spans="3:20" s="189" customFormat="1" ht="12" customHeight="1">
      <c r="C116" s="188"/>
      <c r="D116" s="212" t="s">
        <v>438</v>
      </c>
      <c r="E116" s="228" t="s">
        <v>283</v>
      </c>
      <c r="F116" s="199" t="s">
        <v>2155</v>
      </c>
      <c r="G116" s="199" t="s">
        <v>291</v>
      </c>
      <c r="H116" s="210">
        <f t="shared" si="4"/>
        <v>0</v>
      </c>
      <c r="I116" s="214"/>
      <c r="J116" s="214"/>
      <c r="K116" s="214"/>
      <c r="L116" s="214"/>
      <c r="M116" s="188"/>
      <c r="N116" s="206"/>
      <c r="O116" s="206"/>
      <c r="P116" s="206"/>
      <c r="Q116" s="206"/>
      <c r="R116" s="206"/>
      <c r="S116" s="206"/>
      <c r="T116" s="211" t="s">
        <v>2156</v>
      </c>
    </row>
    <row r="117" spans="3:20" s="189" customFormat="1" ht="12" customHeight="1">
      <c r="C117" s="188"/>
      <c r="D117" s="212" t="s">
        <v>439</v>
      </c>
      <c r="E117" s="228" t="s">
        <v>285</v>
      </c>
      <c r="F117" s="199" t="s">
        <v>2155</v>
      </c>
      <c r="G117" s="199" t="s">
        <v>292</v>
      </c>
      <c r="H117" s="210">
        <f t="shared" si="4"/>
        <v>0</v>
      </c>
      <c r="I117" s="214"/>
      <c r="J117" s="214"/>
      <c r="K117" s="214"/>
      <c r="L117" s="214"/>
      <c r="M117" s="188"/>
      <c r="N117" s="206"/>
      <c r="O117" s="206"/>
      <c r="P117" s="206"/>
      <c r="Q117" s="206"/>
      <c r="R117" s="206"/>
      <c r="S117" s="206"/>
      <c r="T117" s="211" t="s">
        <v>2156</v>
      </c>
    </row>
    <row r="118" spans="3:20" s="189" customFormat="1" ht="12" customHeight="1">
      <c r="C118" s="188"/>
      <c r="D118" s="212" t="s">
        <v>440</v>
      </c>
      <c r="E118" s="227" t="s">
        <v>293</v>
      </c>
      <c r="F118" s="199" t="s">
        <v>2155</v>
      </c>
      <c r="G118" s="199" t="s">
        <v>294</v>
      </c>
      <c r="H118" s="210">
        <f t="shared" si="4"/>
        <v>0</v>
      </c>
      <c r="I118" s="214"/>
      <c r="J118" s="214"/>
      <c r="K118" s="214"/>
      <c r="L118" s="214"/>
      <c r="M118" s="188"/>
      <c r="N118" s="206"/>
      <c r="O118" s="206"/>
      <c r="P118" s="206"/>
      <c r="Q118" s="206"/>
      <c r="R118" s="206"/>
      <c r="S118" s="206"/>
      <c r="T118" s="211" t="s">
        <v>2156</v>
      </c>
    </row>
    <row r="119" spans="3:20" s="189" customFormat="1" ht="12" customHeight="1">
      <c r="C119" s="188"/>
      <c r="D119" s="212" t="s">
        <v>441</v>
      </c>
      <c r="E119" s="227" t="s">
        <v>295</v>
      </c>
      <c r="F119" s="199" t="s">
        <v>2155</v>
      </c>
      <c r="G119" s="199" t="s">
        <v>296</v>
      </c>
      <c r="H119" s="210">
        <f t="shared" si="4"/>
        <v>0</v>
      </c>
      <c r="I119" s="214"/>
      <c r="J119" s="214"/>
      <c r="K119" s="214"/>
      <c r="L119" s="214"/>
      <c r="M119" s="188"/>
      <c r="N119" s="206"/>
      <c r="O119" s="206"/>
      <c r="P119" s="206"/>
      <c r="Q119" s="206"/>
      <c r="R119" s="206"/>
      <c r="S119" s="206"/>
      <c r="T119" s="211" t="s">
        <v>2156</v>
      </c>
    </row>
    <row r="120" spans="3:20" s="189" customFormat="1" ht="36" customHeight="1">
      <c r="C120" s="188"/>
      <c r="D120" s="212" t="s">
        <v>442</v>
      </c>
      <c r="E120" s="227" t="s">
        <v>479</v>
      </c>
      <c r="F120" s="199" t="s">
        <v>2155</v>
      </c>
      <c r="G120" s="199" t="s">
        <v>297</v>
      </c>
      <c r="H120" s="210">
        <f t="shared" si="4"/>
        <v>0</v>
      </c>
      <c r="I120" s="214"/>
      <c r="J120" s="214"/>
      <c r="K120" s="214"/>
      <c r="L120" s="214"/>
      <c r="M120" s="188"/>
      <c r="N120" s="206"/>
      <c r="O120" s="206"/>
      <c r="P120" s="206"/>
      <c r="Q120" s="206"/>
      <c r="R120" s="206"/>
      <c r="S120" s="206"/>
      <c r="T120" s="211" t="s">
        <v>2156</v>
      </c>
    </row>
    <row r="121" spans="3:20" s="189" customFormat="1" ht="24" customHeight="1">
      <c r="C121" s="188"/>
      <c r="D121" s="212" t="s">
        <v>443</v>
      </c>
      <c r="E121" s="227" t="s">
        <v>298</v>
      </c>
      <c r="F121" s="199" t="s">
        <v>2155</v>
      </c>
      <c r="G121" s="199" t="s">
        <v>299</v>
      </c>
      <c r="H121" s="210">
        <f t="shared" si="4"/>
        <v>0</v>
      </c>
      <c r="I121" s="214"/>
      <c r="J121" s="214"/>
      <c r="K121" s="214"/>
      <c r="L121" s="214"/>
      <c r="M121" s="188"/>
      <c r="N121" s="206"/>
      <c r="O121" s="206"/>
      <c r="P121" s="206"/>
      <c r="Q121" s="206"/>
      <c r="R121" s="206"/>
      <c r="S121" s="206"/>
      <c r="T121" s="211" t="s">
        <v>2156</v>
      </c>
    </row>
    <row r="122" spans="3:20" s="189" customFormat="1" ht="12" customHeight="1">
      <c r="C122" s="188"/>
      <c r="D122" s="212" t="s">
        <v>444</v>
      </c>
      <c r="E122" s="213" t="s">
        <v>515</v>
      </c>
      <c r="F122" s="199" t="s">
        <v>2155</v>
      </c>
      <c r="G122" s="199" t="s">
        <v>300</v>
      </c>
      <c r="H122" s="210">
        <f t="shared" si="4"/>
        <v>0</v>
      </c>
      <c r="I122" s="210">
        <f>I125</f>
        <v>0</v>
      </c>
      <c r="J122" s="210">
        <f>J125</f>
        <v>0</v>
      </c>
      <c r="K122" s="210">
        <f>K125</f>
        <v>0</v>
      </c>
      <c r="L122" s="210">
        <f>L125</f>
        <v>0</v>
      </c>
      <c r="M122" s="188"/>
      <c r="N122" s="206"/>
      <c r="O122" s="206"/>
      <c r="P122" s="206"/>
      <c r="Q122" s="206"/>
      <c r="R122" s="206"/>
      <c r="S122" s="206"/>
      <c r="T122" s="211" t="s">
        <v>2156</v>
      </c>
    </row>
    <row r="123" spans="3:20" s="189" customFormat="1" ht="12" customHeight="1">
      <c r="C123" s="188"/>
      <c r="D123" s="212" t="s">
        <v>445</v>
      </c>
      <c r="E123" s="226" t="s">
        <v>519</v>
      </c>
      <c r="F123" s="199" t="s">
        <v>2177</v>
      </c>
      <c r="G123" s="199" t="s">
        <v>301</v>
      </c>
      <c r="H123" s="210">
        <f t="shared" si="4"/>
        <v>0</v>
      </c>
      <c r="I123" s="214"/>
      <c r="J123" s="214"/>
      <c r="K123" s="214"/>
      <c r="L123" s="214"/>
      <c r="M123" s="188"/>
      <c r="N123" s="206"/>
      <c r="O123" s="206"/>
      <c r="P123" s="206"/>
      <c r="Q123" s="206"/>
      <c r="R123" s="206"/>
      <c r="S123" s="206"/>
      <c r="T123" s="211" t="s">
        <v>2156</v>
      </c>
    </row>
    <row r="124" spans="3:20" s="189" customFormat="1" ht="12" customHeight="1">
      <c r="C124" s="188"/>
      <c r="D124" s="212" t="s">
        <v>446</v>
      </c>
      <c r="E124" s="227" t="s">
        <v>2187</v>
      </c>
      <c r="F124" s="199" t="s">
        <v>2177</v>
      </c>
      <c r="G124" s="199" t="s">
        <v>302</v>
      </c>
      <c r="H124" s="210">
        <f t="shared" si="4"/>
        <v>0</v>
      </c>
      <c r="I124" s="214"/>
      <c r="J124" s="214"/>
      <c r="K124" s="214"/>
      <c r="L124" s="214"/>
      <c r="M124" s="188"/>
      <c r="N124" s="206"/>
      <c r="O124" s="206"/>
      <c r="P124" s="206"/>
      <c r="Q124" s="206"/>
      <c r="R124" s="206"/>
      <c r="S124" s="206"/>
      <c r="T124" s="211" t="s">
        <v>2156</v>
      </c>
    </row>
    <row r="125" spans="3:20" s="189" customFormat="1" ht="12" customHeight="1">
      <c r="C125" s="188"/>
      <c r="D125" s="212" t="s">
        <v>447</v>
      </c>
      <c r="E125" s="226" t="s">
        <v>169</v>
      </c>
      <c r="F125" s="199" t="s">
        <v>2155</v>
      </c>
      <c r="G125" s="199" t="s">
        <v>303</v>
      </c>
      <c r="H125" s="210">
        <f t="shared" si="4"/>
        <v>0</v>
      </c>
      <c r="I125" s="214"/>
      <c r="J125" s="214"/>
      <c r="K125" s="214"/>
      <c r="L125" s="214"/>
      <c r="M125" s="188"/>
      <c r="N125" s="206"/>
      <c r="O125" s="206"/>
      <c r="P125" s="206"/>
      <c r="Q125" s="206"/>
      <c r="R125" s="206"/>
      <c r="S125" s="206"/>
      <c r="T125" s="211" t="s">
        <v>2156</v>
      </c>
    </row>
    <row r="126" spans="3:20" s="189" customFormat="1" ht="12" customHeight="1">
      <c r="C126" s="188"/>
      <c r="D126" s="207" t="s">
        <v>448</v>
      </c>
      <c r="E126" s="208" t="s">
        <v>2189</v>
      </c>
      <c r="F126" s="209" t="s">
        <v>2155</v>
      </c>
      <c r="G126" s="209" t="s">
        <v>304</v>
      </c>
      <c r="H126" s="210">
        <f t="shared" si="4"/>
        <v>8607.9830000000002</v>
      </c>
      <c r="I126" s="210">
        <f>SUM(I127,I128)</f>
        <v>98.203000000000003</v>
      </c>
      <c r="J126" s="210">
        <f>SUM(J127,J128)</f>
        <v>5038.2740000000003</v>
      </c>
      <c r="K126" s="210">
        <f>SUM(K127,K128)</f>
        <v>2604.7819999999997</v>
      </c>
      <c r="L126" s="210">
        <f>SUM(L127,L128)</f>
        <v>866.72400000000005</v>
      </c>
      <c r="M126" s="188"/>
      <c r="N126" s="206"/>
      <c r="O126" s="206"/>
      <c r="P126" s="206"/>
      <c r="Q126" s="206"/>
      <c r="R126" s="206"/>
      <c r="S126" s="206"/>
      <c r="T126" s="211" t="s">
        <v>2156</v>
      </c>
    </row>
    <row r="127" spans="3:20" s="189" customFormat="1" ht="12" customHeight="1">
      <c r="C127" s="188"/>
      <c r="D127" s="212" t="s">
        <v>449</v>
      </c>
      <c r="E127" s="213" t="s">
        <v>167</v>
      </c>
      <c r="F127" s="199" t="s">
        <v>2155</v>
      </c>
      <c r="G127" s="199" t="s">
        <v>305</v>
      </c>
      <c r="H127" s="210">
        <f t="shared" si="4"/>
        <v>0</v>
      </c>
      <c r="I127" s="214"/>
      <c r="J127" s="214"/>
      <c r="K127" s="214"/>
      <c r="L127" s="214"/>
      <c r="M127" s="188"/>
      <c r="N127" s="206"/>
      <c r="O127" s="206"/>
      <c r="P127" s="206"/>
      <c r="Q127" s="206"/>
      <c r="R127" s="206"/>
      <c r="S127" s="206"/>
      <c r="T127" s="211" t="s">
        <v>2156</v>
      </c>
    </row>
    <row r="128" spans="3:20" s="189" customFormat="1" ht="12" customHeight="1">
      <c r="C128" s="188"/>
      <c r="D128" s="212" t="s">
        <v>450</v>
      </c>
      <c r="E128" s="213" t="s">
        <v>507</v>
      </c>
      <c r="F128" s="199" t="s">
        <v>2155</v>
      </c>
      <c r="G128" s="199" t="s">
        <v>306</v>
      </c>
      <c r="H128" s="210">
        <f t="shared" si="4"/>
        <v>8607.9830000000002</v>
      </c>
      <c r="I128" s="210">
        <f>I130</f>
        <v>98.203000000000003</v>
      </c>
      <c r="J128" s="210">
        <f>J130</f>
        <v>5038.2740000000003</v>
      </c>
      <c r="K128" s="210">
        <f>K130</f>
        <v>2604.7819999999997</v>
      </c>
      <c r="L128" s="210">
        <f>L130</f>
        <v>866.72400000000005</v>
      </c>
      <c r="M128" s="188"/>
      <c r="N128" s="206"/>
      <c r="O128" s="206"/>
      <c r="P128" s="206"/>
      <c r="Q128" s="206"/>
      <c r="R128" s="206"/>
      <c r="S128" s="206"/>
      <c r="T128" s="211" t="s">
        <v>2156</v>
      </c>
    </row>
    <row r="129" spans="3:20" s="189" customFormat="1" ht="12" customHeight="1">
      <c r="C129" s="188"/>
      <c r="D129" s="212" t="s">
        <v>451</v>
      </c>
      <c r="E129" s="226" t="s">
        <v>168</v>
      </c>
      <c r="F129" s="199" t="s">
        <v>2177</v>
      </c>
      <c r="G129" s="199" t="s">
        <v>307</v>
      </c>
      <c r="H129" s="210">
        <f t="shared" si="4"/>
        <v>56.423000000000002</v>
      </c>
      <c r="I129" s="214"/>
      <c r="J129" s="214">
        <f>J96</f>
        <v>56.423000000000002</v>
      </c>
      <c r="K129" s="214"/>
      <c r="L129" s="214"/>
      <c r="M129" s="188"/>
      <c r="N129" s="206"/>
      <c r="O129" s="206"/>
      <c r="P129" s="206"/>
      <c r="Q129" s="206"/>
      <c r="R129" s="206"/>
      <c r="S129" s="206"/>
      <c r="T129" s="211" t="s">
        <v>2156</v>
      </c>
    </row>
    <row r="130" spans="3:20" s="189" customFormat="1" ht="12" customHeight="1">
      <c r="C130" s="188"/>
      <c r="D130" s="212" t="s">
        <v>452</v>
      </c>
      <c r="E130" s="226" t="s">
        <v>169</v>
      </c>
      <c r="F130" s="199" t="s">
        <v>2155</v>
      </c>
      <c r="G130" s="199" t="s">
        <v>308</v>
      </c>
      <c r="H130" s="210">
        <f t="shared" si="4"/>
        <v>8607.9830000000002</v>
      </c>
      <c r="I130" s="214">
        <f>I49</f>
        <v>98.203000000000003</v>
      </c>
      <c r="J130" s="214">
        <f>J35+214.138</f>
        <v>5038.2740000000003</v>
      </c>
      <c r="K130" s="214">
        <f>K35+3.435+28.794+7.31</f>
        <v>2604.7819999999997</v>
      </c>
      <c r="L130" s="214">
        <f>L35</f>
        <v>866.72400000000005</v>
      </c>
      <c r="M130" s="188"/>
      <c r="N130" s="206"/>
      <c r="O130" s="206"/>
      <c r="P130" s="206"/>
      <c r="Q130" s="206"/>
      <c r="R130" s="206"/>
      <c r="S130" s="206"/>
      <c r="T130" s="211" t="s">
        <v>2156</v>
      </c>
    </row>
    <row r="131" spans="3:20" s="189" customFormat="1" ht="18" customHeight="1">
      <c r="C131" s="188"/>
      <c r="D131" s="201" t="s">
        <v>2190</v>
      </c>
      <c r="E131" s="202"/>
      <c r="F131" s="202"/>
      <c r="G131" s="203"/>
      <c r="H131" s="204"/>
      <c r="I131" s="204"/>
      <c r="J131" s="204"/>
      <c r="K131" s="204"/>
      <c r="L131" s="205"/>
      <c r="M131" s="188"/>
      <c r="N131" s="206"/>
      <c r="O131" s="206"/>
      <c r="P131" s="206"/>
      <c r="Q131" s="206"/>
      <c r="R131" s="206"/>
      <c r="S131" s="206"/>
      <c r="T131" s="206"/>
    </row>
    <row r="132" spans="3:20" s="189" customFormat="1" ht="24" customHeight="1">
      <c r="C132" s="188"/>
      <c r="D132" s="207" t="s">
        <v>453</v>
      </c>
      <c r="E132" s="208" t="s">
        <v>518</v>
      </c>
      <c r="F132" s="209" t="s">
        <v>2191</v>
      </c>
      <c r="G132" s="209" t="s">
        <v>309</v>
      </c>
      <c r="H132" s="210">
        <f t="shared" ref="H132:H152" si="5">SUM(I132:L132)</f>
        <v>0</v>
      </c>
      <c r="I132" s="210">
        <f>SUM(I133:I134)</f>
        <v>0</v>
      </c>
      <c r="J132" s="210">
        <f>SUM(J133:J134)</f>
        <v>0</v>
      </c>
      <c r="K132" s="210">
        <f>SUM(K133:K134)</f>
        <v>0</v>
      </c>
      <c r="L132" s="210">
        <f>SUM(L133:L134)</f>
        <v>0</v>
      </c>
      <c r="M132" s="188"/>
      <c r="N132" s="206"/>
      <c r="O132" s="206"/>
      <c r="P132" s="206"/>
      <c r="Q132" s="206"/>
      <c r="R132" s="206"/>
      <c r="S132" s="206"/>
      <c r="T132" s="211" t="s">
        <v>2156</v>
      </c>
    </row>
    <row r="133" spans="3:20" s="189" customFormat="1" ht="12" customHeight="1">
      <c r="C133" s="188"/>
      <c r="D133" s="212" t="s">
        <v>454</v>
      </c>
      <c r="E133" s="213" t="s">
        <v>167</v>
      </c>
      <c r="F133" s="199" t="s">
        <v>2191</v>
      </c>
      <c r="G133" s="199" t="s">
        <v>310</v>
      </c>
      <c r="H133" s="210">
        <f t="shared" si="5"/>
        <v>0</v>
      </c>
      <c r="I133" s="214"/>
      <c r="J133" s="214"/>
      <c r="K133" s="214"/>
      <c r="L133" s="214"/>
      <c r="M133" s="188"/>
      <c r="N133" s="206"/>
      <c r="O133" s="206"/>
      <c r="P133" s="206"/>
      <c r="Q133" s="206"/>
      <c r="R133" s="206"/>
      <c r="S133" s="206"/>
      <c r="T133" s="211" t="s">
        <v>2156</v>
      </c>
    </row>
    <row r="134" spans="3:20" s="189" customFormat="1" ht="12" customHeight="1">
      <c r="C134" s="188"/>
      <c r="D134" s="212" t="s">
        <v>455</v>
      </c>
      <c r="E134" s="213" t="s">
        <v>507</v>
      </c>
      <c r="F134" s="199" t="s">
        <v>2191</v>
      </c>
      <c r="G134" s="199" t="s">
        <v>311</v>
      </c>
      <c r="H134" s="210">
        <f t="shared" si="5"/>
        <v>0</v>
      </c>
      <c r="I134" s="210">
        <f>SUM(I135,I137)</f>
        <v>0</v>
      </c>
      <c r="J134" s="210">
        <f>SUM(J135,J137)</f>
        <v>0</v>
      </c>
      <c r="K134" s="210">
        <f>SUM(K135,K137)</f>
        <v>0</v>
      </c>
      <c r="L134" s="210">
        <f>SUM(L135,L137)</f>
        <v>0</v>
      </c>
      <c r="M134" s="188"/>
      <c r="N134" s="206"/>
      <c r="O134" s="206"/>
      <c r="P134" s="206"/>
      <c r="Q134" s="206"/>
      <c r="R134" s="206"/>
      <c r="S134" s="206"/>
      <c r="T134" s="211" t="s">
        <v>2156</v>
      </c>
    </row>
    <row r="135" spans="3:20" s="189" customFormat="1" ht="12" customHeight="1">
      <c r="C135" s="188"/>
      <c r="D135" s="212" t="s">
        <v>456</v>
      </c>
      <c r="E135" s="226" t="s">
        <v>519</v>
      </c>
      <c r="F135" s="199" t="s">
        <v>2191</v>
      </c>
      <c r="G135" s="199" t="s">
        <v>312</v>
      </c>
      <c r="H135" s="210">
        <f t="shared" si="5"/>
        <v>0</v>
      </c>
      <c r="I135" s="214"/>
      <c r="J135" s="214"/>
      <c r="K135" s="214"/>
      <c r="L135" s="214"/>
      <c r="M135" s="188"/>
      <c r="N135" s="206"/>
      <c r="O135" s="206"/>
      <c r="P135" s="206"/>
      <c r="Q135" s="206"/>
      <c r="R135" s="206"/>
      <c r="S135" s="206"/>
      <c r="T135" s="211" t="s">
        <v>2156</v>
      </c>
    </row>
    <row r="136" spans="3:20" s="189" customFormat="1" ht="12" customHeight="1">
      <c r="C136" s="188"/>
      <c r="D136" s="212" t="s">
        <v>457</v>
      </c>
      <c r="E136" s="227" t="s">
        <v>520</v>
      </c>
      <c r="F136" s="199" t="s">
        <v>2191</v>
      </c>
      <c r="G136" s="199" t="s">
        <v>313</v>
      </c>
      <c r="H136" s="210">
        <f t="shared" si="5"/>
        <v>0</v>
      </c>
      <c r="I136" s="214"/>
      <c r="J136" s="214"/>
      <c r="K136" s="214"/>
      <c r="L136" s="214"/>
      <c r="M136" s="188"/>
      <c r="N136" s="206"/>
      <c r="O136" s="206"/>
      <c r="P136" s="206"/>
      <c r="Q136" s="206"/>
      <c r="R136" s="206"/>
      <c r="S136" s="206"/>
      <c r="T136" s="211" t="s">
        <v>2156</v>
      </c>
    </row>
    <row r="137" spans="3:20" s="189" customFormat="1" ht="12" customHeight="1">
      <c r="C137" s="188"/>
      <c r="D137" s="212" t="s">
        <v>458</v>
      </c>
      <c r="E137" s="226" t="s">
        <v>169</v>
      </c>
      <c r="F137" s="199" t="s">
        <v>2191</v>
      </c>
      <c r="G137" s="199" t="s">
        <v>314</v>
      </c>
      <c r="H137" s="210">
        <f t="shared" si="5"/>
        <v>0</v>
      </c>
      <c r="I137" s="214"/>
      <c r="J137" s="214"/>
      <c r="K137" s="214"/>
      <c r="L137" s="214"/>
      <c r="M137" s="188"/>
      <c r="N137" s="206"/>
      <c r="O137" s="206"/>
      <c r="P137" s="206"/>
      <c r="Q137" s="206"/>
      <c r="R137" s="206"/>
      <c r="S137" s="206"/>
      <c r="T137" s="211" t="s">
        <v>2156</v>
      </c>
    </row>
    <row r="138" spans="3:20" s="189" customFormat="1" ht="12" customHeight="1">
      <c r="C138" s="188"/>
      <c r="D138" s="207" t="s">
        <v>336</v>
      </c>
      <c r="E138" s="208" t="s">
        <v>521</v>
      </c>
      <c r="F138" s="209" t="s">
        <v>2191</v>
      </c>
      <c r="G138" s="209" t="s">
        <v>315</v>
      </c>
      <c r="H138" s="210">
        <f t="shared" si="5"/>
        <v>0</v>
      </c>
      <c r="I138" s="210">
        <f>SUM(I139,I144)</f>
        <v>0</v>
      </c>
      <c r="J138" s="210">
        <f>SUM(J139,J144)</f>
        <v>0</v>
      </c>
      <c r="K138" s="210">
        <f>SUM(K139,K144)</f>
        <v>0</v>
      </c>
      <c r="L138" s="210">
        <f>SUM(L139,L144)</f>
        <v>0</v>
      </c>
      <c r="M138" s="188"/>
      <c r="N138" s="206"/>
      <c r="O138" s="206"/>
      <c r="P138" s="206"/>
      <c r="Q138" s="206"/>
      <c r="R138" s="206"/>
      <c r="S138" s="206"/>
      <c r="T138" s="211" t="s">
        <v>2156</v>
      </c>
    </row>
    <row r="139" spans="3:20" s="189" customFormat="1" ht="12" customHeight="1">
      <c r="C139" s="188"/>
      <c r="D139" s="212" t="s">
        <v>459</v>
      </c>
      <c r="E139" s="213" t="s">
        <v>167</v>
      </c>
      <c r="F139" s="199" t="s">
        <v>2191</v>
      </c>
      <c r="G139" s="199" t="s">
        <v>316</v>
      </c>
      <c r="H139" s="210">
        <f t="shared" si="5"/>
        <v>0</v>
      </c>
      <c r="I139" s="210">
        <f>SUM(I140:I141)</f>
        <v>0</v>
      </c>
      <c r="J139" s="210">
        <f>SUM(J140:J141)</f>
        <v>0</v>
      </c>
      <c r="K139" s="210">
        <f>SUM(K140:K141)</f>
        <v>0</v>
      </c>
      <c r="L139" s="210">
        <f>SUM(L140:L141)</f>
        <v>0</v>
      </c>
      <c r="M139" s="188"/>
      <c r="N139" s="206"/>
      <c r="O139" s="206"/>
      <c r="P139" s="206"/>
      <c r="Q139" s="206"/>
      <c r="R139" s="206"/>
      <c r="S139" s="206"/>
      <c r="T139" s="211" t="s">
        <v>2156</v>
      </c>
    </row>
    <row r="140" spans="3:20" s="189" customFormat="1" ht="12" customHeight="1">
      <c r="C140" s="188"/>
      <c r="D140" s="212" t="s">
        <v>460</v>
      </c>
      <c r="E140" s="226" t="s">
        <v>222</v>
      </c>
      <c r="F140" s="199" t="s">
        <v>2191</v>
      </c>
      <c r="G140" s="199" t="s">
        <v>317</v>
      </c>
      <c r="H140" s="210">
        <f t="shared" si="5"/>
        <v>0</v>
      </c>
      <c r="I140" s="214"/>
      <c r="J140" s="214"/>
      <c r="K140" s="214"/>
      <c r="L140" s="214"/>
      <c r="M140" s="188"/>
      <c r="N140" s="206"/>
      <c r="O140" s="206"/>
      <c r="P140" s="206"/>
      <c r="Q140" s="206"/>
      <c r="R140" s="206"/>
      <c r="S140" s="206"/>
      <c r="T140" s="211" t="s">
        <v>2156</v>
      </c>
    </row>
    <row r="141" spans="3:20" s="189" customFormat="1" ht="12" customHeight="1">
      <c r="C141" s="188"/>
      <c r="D141" s="212" t="s">
        <v>461</v>
      </c>
      <c r="E141" s="226" t="s">
        <v>511</v>
      </c>
      <c r="F141" s="199" t="s">
        <v>2191</v>
      </c>
      <c r="G141" s="199" t="s">
        <v>318</v>
      </c>
      <c r="H141" s="210">
        <f t="shared" si="5"/>
        <v>0</v>
      </c>
      <c r="I141" s="210">
        <f>SUM(I142:I143)</f>
        <v>0</v>
      </c>
      <c r="J141" s="210">
        <f>SUM(J142:J143)</f>
        <v>0</v>
      </c>
      <c r="K141" s="210">
        <f>SUM(K142:K143)</f>
        <v>0</v>
      </c>
      <c r="L141" s="210">
        <f>SUM(L142:L143)</f>
        <v>0</v>
      </c>
      <c r="M141" s="188"/>
      <c r="N141" s="206"/>
      <c r="O141" s="206"/>
      <c r="P141" s="206"/>
      <c r="Q141" s="206"/>
      <c r="R141" s="206"/>
      <c r="S141" s="206"/>
      <c r="T141" s="211" t="s">
        <v>2156</v>
      </c>
    </row>
    <row r="142" spans="3:20" s="189" customFormat="1" ht="12" customHeight="1">
      <c r="C142" s="188"/>
      <c r="D142" s="212" t="s">
        <v>462</v>
      </c>
      <c r="E142" s="227" t="s">
        <v>283</v>
      </c>
      <c r="F142" s="199" t="s">
        <v>2191</v>
      </c>
      <c r="G142" s="199" t="s">
        <v>319</v>
      </c>
      <c r="H142" s="210">
        <f t="shared" si="5"/>
        <v>0</v>
      </c>
      <c r="I142" s="214"/>
      <c r="J142" s="214"/>
      <c r="K142" s="214"/>
      <c r="L142" s="214"/>
      <c r="M142" s="188"/>
      <c r="N142" s="206"/>
      <c r="O142" s="206"/>
      <c r="P142" s="206"/>
      <c r="Q142" s="206"/>
      <c r="R142" s="206"/>
      <c r="S142" s="206"/>
      <c r="T142" s="211" t="s">
        <v>2156</v>
      </c>
    </row>
    <row r="143" spans="3:20" s="189" customFormat="1" ht="12" customHeight="1">
      <c r="C143" s="188"/>
      <c r="D143" s="212" t="s">
        <v>463</v>
      </c>
      <c r="E143" s="227" t="s">
        <v>320</v>
      </c>
      <c r="F143" s="199" t="s">
        <v>2191</v>
      </c>
      <c r="G143" s="199" t="s">
        <v>321</v>
      </c>
      <c r="H143" s="210">
        <f t="shared" si="5"/>
        <v>0</v>
      </c>
      <c r="I143" s="214"/>
      <c r="J143" s="214"/>
      <c r="K143" s="214"/>
      <c r="L143" s="214"/>
      <c r="M143" s="188"/>
      <c r="N143" s="206"/>
      <c r="O143" s="206"/>
      <c r="P143" s="206"/>
      <c r="Q143" s="206"/>
      <c r="R143" s="206"/>
      <c r="S143" s="206"/>
      <c r="T143" s="211" t="s">
        <v>2156</v>
      </c>
    </row>
    <row r="144" spans="3:20" s="189" customFormat="1" ht="12" customHeight="1">
      <c r="C144" s="188"/>
      <c r="D144" s="212" t="s">
        <v>464</v>
      </c>
      <c r="E144" s="213" t="s">
        <v>515</v>
      </c>
      <c r="F144" s="199" t="s">
        <v>2191</v>
      </c>
      <c r="G144" s="199" t="s">
        <v>322</v>
      </c>
      <c r="H144" s="210">
        <f t="shared" si="5"/>
        <v>0</v>
      </c>
      <c r="I144" s="210">
        <f>SUM(I145,I147)</f>
        <v>0</v>
      </c>
      <c r="J144" s="210">
        <f>SUM(J145,J147)</f>
        <v>0</v>
      </c>
      <c r="K144" s="210">
        <f>SUM(K145,K147)</f>
        <v>0</v>
      </c>
      <c r="L144" s="210">
        <f>SUM(L145,L147)</f>
        <v>0</v>
      </c>
      <c r="M144" s="188"/>
      <c r="N144" s="206"/>
      <c r="O144" s="206"/>
      <c r="P144" s="206"/>
      <c r="Q144" s="206"/>
      <c r="R144" s="206"/>
      <c r="S144" s="206"/>
      <c r="T144" s="211" t="s">
        <v>2156</v>
      </c>
    </row>
    <row r="145" spans="3:20" s="189" customFormat="1" ht="12" customHeight="1">
      <c r="C145" s="188"/>
      <c r="D145" s="212" t="s">
        <v>465</v>
      </c>
      <c r="E145" s="226" t="s">
        <v>519</v>
      </c>
      <c r="F145" s="199" t="s">
        <v>2191</v>
      </c>
      <c r="G145" s="199" t="s">
        <v>323</v>
      </c>
      <c r="H145" s="210">
        <f t="shared" si="5"/>
        <v>0</v>
      </c>
      <c r="I145" s="214"/>
      <c r="J145" s="214"/>
      <c r="K145" s="214"/>
      <c r="L145" s="214"/>
      <c r="M145" s="188"/>
      <c r="N145" s="206"/>
      <c r="O145" s="206"/>
      <c r="P145" s="206"/>
      <c r="Q145" s="206"/>
      <c r="R145" s="206"/>
      <c r="S145" s="206"/>
      <c r="T145" s="211" t="s">
        <v>2156</v>
      </c>
    </row>
    <row r="146" spans="3:20" s="189" customFormat="1" ht="12" customHeight="1">
      <c r="C146" s="188"/>
      <c r="D146" s="212" t="s">
        <v>466</v>
      </c>
      <c r="E146" s="227" t="s">
        <v>520</v>
      </c>
      <c r="F146" s="199" t="s">
        <v>2191</v>
      </c>
      <c r="G146" s="199" t="s">
        <v>324</v>
      </c>
      <c r="H146" s="210">
        <f t="shared" si="5"/>
        <v>0</v>
      </c>
      <c r="I146" s="214"/>
      <c r="J146" s="214"/>
      <c r="K146" s="214"/>
      <c r="L146" s="214"/>
      <c r="M146" s="188"/>
      <c r="N146" s="206"/>
      <c r="O146" s="206"/>
      <c r="P146" s="206"/>
      <c r="Q146" s="206"/>
      <c r="R146" s="206"/>
      <c r="S146" s="206"/>
      <c r="T146" s="211" t="s">
        <v>2156</v>
      </c>
    </row>
    <row r="147" spans="3:20" s="189" customFormat="1" ht="12" customHeight="1">
      <c r="C147" s="188"/>
      <c r="D147" s="212" t="s">
        <v>467</v>
      </c>
      <c r="E147" s="226" t="s">
        <v>169</v>
      </c>
      <c r="F147" s="199" t="s">
        <v>2191</v>
      </c>
      <c r="G147" s="199" t="s">
        <v>325</v>
      </c>
      <c r="H147" s="210">
        <f t="shared" si="5"/>
        <v>0</v>
      </c>
      <c r="I147" s="214"/>
      <c r="J147" s="214"/>
      <c r="K147" s="214"/>
      <c r="L147" s="214"/>
      <c r="M147" s="188"/>
      <c r="N147" s="206"/>
      <c r="O147" s="206"/>
      <c r="P147" s="206"/>
      <c r="Q147" s="206"/>
      <c r="R147" s="206"/>
      <c r="S147" s="206"/>
      <c r="T147" s="211" t="s">
        <v>2156</v>
      </c>
    </row>
    <row r="148" spans="3:20" s="189" customFormat="1" ht="12" customHeight="1">
      <c r="C148" s="188"/>
      <c r="D148" s="207" t="s">
        <v>468</v>
      </c>
      <c r="E148" s="208" t="s">
        <v>522</v>
      </c>
      <c r="F148" s="209" t="s">
        <v>2191</v>
      </c>
      <c r="G148" s="209" t="s">
        <v>326</v>
      </c>
      <c r="H148" s="210">
        <f t="shared" si="5"/>
        <v>4350.7548695760006</v>
      </c>
      <c r="I148" s="210">
        <f>SUM(I149:I150)</f>
        <v>9.6396064800000012</v>
      </c>
      <c r="J148" s="210">
        <f>SUM(J149:J150)</f>
        <v>4000.3522341360003</v>
      </c>
      <c r="K148" s="210">
        <f>SUM(K149:K150)</f>
        <v>255.68540111999994</v>
      </c>
      <c r="L148" s="210">
        <f>SUM(L149:L150)</f>
        <v>85.077627839999991</v>
      </c>
      <c r="M148" s="188"/>
      <c r="N148" s="206"/>
      <c r="O148" s="206"/>
      <c r="P148" s="206"/>
      <c r="Q148" s="206"/>
      <c r="R148" s="206"/>
      <c r="S148" s="206"/>
      <c r="T148" s="211" t="s">
        <v>2156</v>
      </c>
    </row>
    <row r="149" spans="3:20" s="189" customFormat="1" ht="12" customHeight="1">
      <c r="C149" s="188"/>
      <c r="D149" s="212" t="s">
        <v>469</v>
      </c>
      <c r="E149" s="213" t="s">
        <v>167</v>
      </c>
      <c r="F149" s="199" t="s">
        <v>2191</v>
      </c>
      <c r="G149" s="199" t="s">
        <v>327</v>
      </c>
      <c r="H149" s="210">
        <f t="shared" si="5"/>
        <v>0</v>
      </c>
      <c r="I149" s="214"/>
      <c r="J149" s="214"/>
      <c r="K149" s="214"/>
      <c r="L149" s="214"/>
      <c r="M149" s="188"/>
      <c r="N149" s="206"/>
      <c r="O149" s="206"/>
      <c r="P149" s="206"/>
      <c r="Q149" s="206"/>
      <c r="R149" s="206"/>
      <c r="S149" s="206"/>
      <c r="T149" s="211" t="s">
        <v>2156</v>
      </c>
    </row>
    <row r="150" spans="3:20" s="189" customFormat="1" ht="12" customHeight="1">
      <c r="C150" s="188"/>
      <c r="D150" s="212" t="s">
        <v>470</v>
      </c>
      <c r="E150" s="213" t="s">
        <v>507</v>
      </c>
      <c r="F150" s="199" t="s">
        <v>2191</v>
      </c>
      <c r="G150" s="199" t="s">
        <v>328</v>
      </c>
      <c r="H150" s="210">
        <f t="shared" si="5"/>
        <v>4350.7548695760006</v>
      </c>
      <c r="I150" s="210">
        <f>SUM(I151:I152)</f>
        <v>9.6396064800000012</v>
      </c>
      <c r="J150" s="210">
        <f>SUM(J151:J152)</f>
        <v>4000.3522341360003</v>
      </c>
      <c r="K150" s="210">
        <f>SUM(K151:K152)</f>
        <v>255.68540111999994</v>
      </c>
      <c r="L150" s="210">
        <f>SUM(L151:L152)</f>
        <v>85.077627839999991</v>
      </c>
      <c r="M150" s="188"/>
      <c r="N150" s="206"/>
      <c r="O150" s="206"/>
      <c r="P150" s="206"/>
      <c r="Q150" s="206"/>
      <c r="R150" s="206"/>
      <c r="S150" s="206"/>
      <c r="T150" s="211" t="s">
        <v>2156</v>
      </c>
    </row>
    <row r="151" spans="3:20" s="189" customFormat="1" ht="12" customHeight="1">
      <c r="C151" s="188"/>
      <c r="D151" s="212" t="s">
        <v>471</v>
      </c>
      <c r="E151" s="226" t="s">
        <v>168</v>
      </c>
      <c r="F151" s="199" t="s">
        <v>2191</v>
      </c>
      <c r="G151" s="199" t="s">
        <v>331</v>
      </c>
      <c r="H151" s="210">
        <f t="shared" si="5"/>
        <v>3505.7952582960002</v>
      </c>
      <c r="I151" s="214"/>
      <c r="J151" s="214">
        <f>J129*51778.46*1.2/1000</f>
        <v>3505.7952582960002</v>
      </c>
      <c r="K151" s="214"/>
      <c r="L151" s="214"/>
      <c r="M151" s="188"/>
      <c r="N151" s="206"/>
      <c r="O151" s="206"/>
      <c r="P151" s="206"/>
      <c r="Q151" s="206"/>
      <c r="R151" s="206"/>
      <c r="S151" s="206"/>
      <c r="T151" s="211" t="s">
        <v>2156</v>
      </c>
    </row>
    <row r="152" spans="3:20" s="189" customFormat="1" ht="12" customHeight="1">
      <c r="C152" s="188"/>
      <c r="D152" s="212" t="s">
        <v>472</v>
      </c>
      <c r="E152" s="226" t="s">
        <v>169</v>
      </c>
      <c r="F152" s="199" t="s">
        <v>2191</v>
      </c>
      <c r="G152" s="199" t="s">
        <v>332</v>
      </c>
      <c r="H152" s="210">
        <f t="shared" si="5"/>
        <v>844.95961127999988</v>
      </c>
      <c r="I152" s="214">
        <f>I130*81.8*1.2/1000</f>
        <v>9.6396064800000012</v>
      </c>
      <c r="J152" s="214">
        <f>J130*81.8*1.2/1000</f>
        <v>494.55697584000001</v>
      </c>
      <c r="K152" s="214">
        <f>K130*81.8*1.2/1000</f>
        <v>255.68540111999994</v>
      </c>
      <c r="L152" s="214">
        <f>L130*81.8*1.2/1000</f>
        <v>85.077627839999991</v>
      </c>
      <c r="M152" s="188"/>
      <c r="N152" s="206"/>
      <c r="O152" s="206"/>
      <c r="P152" s="206"/>
      <c r="Q152" s="206"/>
      <c r="R152" s="206"/>
      <c r="S152" s="206"/>
      <c r="T152" s="211" t="s">
        <v>2156</v>
      </c>
    </row>
  </sheetData>
  <mergeCells count="11">
    <mergeCell ref="D14:F14"/>
    <mergeCell ref="D54:F54"/>
    <mergeCell ref="D94:F94"/>
    <mergeCell ref="D98:F98"/>
    <mergeCell ref="D131:F131"/>
    <mergeCell ref="D11:D12"/>
    <mergeCell ref="E11:E12"/>
    <mergeCell ref="F11:F12"/>
    <mergeCell ref="G11:G12"/>
    <mergeCell ref="H11:H12"/>
    <mergeCell ref="I11:L1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2"/>
  <sheetViews>
    <sheetView tabSelected="1" topLeftCell="C7" workbookViewId="0">
      <selection activeCell="V130" sqref="V130:AB155"/>
    </sheetView>
  </sheetViews>
  <sheetFormatPr defaultRowHeight="11.25"/>
  <cols>
    <col min="1" max="2" width="4.7109375" style="188" hidden="1" customWidth="1"/>
    <col min="3" max="3" width="2.7109375" style="188" customWidth="1"/>
    <col min="4" max="4" width="10.7109375" style="188" customWidth="1"/>
    <col min="5" max="5" width="70.7109375" style="188" customWidth="1"/>
    <col min="6" max="6" width="10.7109375" style="188" customWidth="1"/>
    <col min="7" max="7" width="6.7109375" style="188" customWidth="1"/>
    <col min="8" max="12" width="17.7109375" style="188" customWidth="1"/>
    <col min="13" max="13" width="2.7109375" style="188" customWidth="1"/>
    <col min="14" max="19" width="13.5703125" style="188" hidden="1" customWidth="1"/>
    <col min="20" max="20" width="33.7109375" style="188" hidden="1" customWidth="1"/>
    <col min="21" max="21" width="9.140625" style="189"/>
    <col min="22" max="22" width="12" style="189" customWidth="1"/>
    <col min="23" max="16384" width="9.140625" style="189"/>
  </cols>
  <sheetData>
    <row r="1" spans="1:20" ht="10.5" hidden="1" customHeight="1"/>
    <row r="2" spans="1:20" ht="10.5" hidden="1" customHeight="1"/>
    <row r="3" spans="1:20" ht="10.5" hidden="1" customHeight="1">
      <c r="H3" s="190" t="s">
        <v>2139</v>
      </c>
      <c r="I3" s="191" t="s">
        <v>2140</v>
      </c>
      <c r="J3" s="191" t="s">
        <v>2141</v>
      </c>
      <c r="K3" s="191" t="s">
        <v>2142</v>
      </c>
      <c r="L3" s="191" t="s">
        <v>2143</v>
      </c>
      <c r="N3" s="190" t="s">
        <v>2144</v>
      </c>
      <c r="O3" s="190" t="s">
        <v>2145</v>
      </c>
      <c r="P3" s="190" t="s">
        <v>2146</v>
      </c>
      <c r="Q3" s="190" t="s">
        <v>2147</v>
      </c>
      <c r="R3" s="190" t="s">
        <v>2148</v>
      </c>
      <c r="S3" s="190" t="s">
        <v>2149</v>
      </c>
      <c r="T3" s="190" t="s">
        <v>2150</v>
      </c>
    </row>
    <row r="4" spans="1:20" ht="10.5" hidden="1" customHeight="1"/>
    <row r="5" spans="1:20" ht="10.5" hidden="1" customHeight="1">
      <c r="A5" s="192"/>
    </row>
    <row r="6" spans="1:20" ht="10.5" hidden="1" customHeight="1">
      <c r="A6" s="192"/>
    </row>
    <row r="7" spans="1:20" ht="6" customHeight="1">
      <c r="A7" s="192"/>
    </row>
    <row r="8" spans="1:20" ht="12" customHeight="1">
      <c r="A8" s="192"/>
      <c r="D8" s="193" t="s">
        <v>153</v>
      </c>
      <c r="E8" s="193"/>
      <c r="F8" s="194"/>
      <c r="G8" s="194"/>
      <c r="H8" s="194"/>
      <c r="I8" s="194"/>
      <c r="J8" s="194"/>
      <c r="K8" s="194"/>
    </row>
    <row r="9" spans="1:20" ht="12" customHeight="1">
      <c r="D9" s="195" t="s">
        <v>2192</v>
      </c>
      <c r="E9" s="195"/>
    </row>
    <row r="10" spans="1:20" ht="15" customHeight="1">
      <c r="D10" s="196"/>
      <c r="E10" s="196"/>
      <c r="F10" s="194"/>
      <c r="G10" s="194"/>
      <c r="H10" s="194"/>
      <c r="I10" s="194"/>
      <c r="J10" s="194"/>
      <c r="K10" s="194"/>
      <c r="L10" s="197" t="s">
        <v>2151</v>
      </c>
    </row>
    <row r="11" spans="1:20" ht="15" customHeight="1">
      <c r="D11" s="198" t="s">
        <v>140</v>
      </c>
      <c r="E11" s="198" t="s">
        <v>2152</v>
      </c>
      <c r="F11" s="198" t="s">
        <v>2153</v>
      </c>
      <c r="G11" s="198" t="s">
        <v>133</v>
      </c>
      <c r="H11" s="198" t="s">
        <v>155</v>
      </c>
      <c r="I11" s="198" t="s">
        <v>156</v>
      </c>
      <c r="J11" s="198"/>
      <c r="K11" s="198"/>
      <c r="L11" s="198"/>
    </row>
    <row r="12" spans="1:20" ht="15" customHeight="1">
      <c r="D12" s="198"/>
      <c r="E12" s="198"/>
      <c r="F12" s="198"/>
      <c r="G12" s="198"/>
      <c r="H12" s="198"/>
      <c r="I12" s="199" t="s">
        <v>134</v>
      </c>
      <c r="J12" s="199" t="s">
        <v>135</v>
      </c>
      <c r="K12" s="199" t="s">
        <v>136</v>
      </c>
      <c r="L12" s="199" t="s">
        <v>137</v>
      </c>
    </row>
    <row r="13" spans="1:20" ht="12" customHeight="1">
      <c r="D13" s="200">
        <v>0</v>
      </c>
      <c r="E13" s="200">
        <v>1</v>
      </c>
      <c r="F13" s="200">
        <v>2</v>
      </c>
      <c r="G13" s="200">
        <v>3</v>
      </c>
      <c r="H13" s="200">
        <v>4</v>
      </c>
      <c r="I13" s="200">
        <v>5</v>
      </c>
      <c r="J13" s="200">
        <v>6</v>
      </c>
      <c r="K13" s="200">
        <v>7</v>
      </c>
      <c r="L13" s="200">
        <v>8</v>
      </c>
    </row>
    <row r="14" spans="1:20" ht="18" customHeight="1">
      <c r="D14" s="201" t="s">
        <v>2154</v>
      </c>
      <c r="E14" s="202"/>
      <c r="F14" s="202"/>
      <c r="G14" s="203"/>
      <c r="H14" s="204"/>
      <c r="I14" s="204"/>
      <c r="J14" s="204"/>
      <c r="K14" s="204"/>
      <c r="L14" s="205"/>
      <c r="N14" s="206"/>
      <c r="O14" s="206"/>
      <c r="P14" s="206"/>
      <c r="Q14" s="206"/>
      <c r="R14" s="206"/>
      <c r="S14" s="206"/>
      <c r="T14" s="206"/>
    </row>
    <row r="15" spans="1:20" ht="12" customHeight="1">
      <c r="D15" s="207" t="s">
        <v>370</v>
      </c>
      <c r="E15" s="208" t="s">
        <v>498</v>
      </c>
      <c r="F15" s="209" t="s">
        <v>2155</v>
      </c>
      <c r="G15" s="209">
        <v>10</v>
      </c>
      <c r="H15" s="210">
        <f>SUM(I15:L15)</f>
        <v>90442.320999999996</v>
      </c>
      <c r="I15" s="210">
        <f>SUM(I16,I17,I20,I23)</f>
        <v>12082.609</v>
      </c>
      <c r="J15" s="210">
        <f>SUM(J16,J17,J20,J23)</f>
        <v>58678.881000000001</v>
      </c>
      <c r="K15" s="210">
        <f>SUM(K16,K17,K20,K23)</f>
        <v>19680.830999999998</v>
      </c>
      <c r="L15" s="210">
        <f>SUM(L16,L17,L20,L23)</f>
        <v>0</v>
      </c>
      <c r="N15" s="206"/>
      <c r="O15" s="206"/>
      <c r="P15" s="206"/>
      <c r="Q15" s="206"/>
      <c r="R15" s="206"/>
      <c r="S15" s="206"/>
      <c r="T15" s="211" t="s">
        <v>2156</v>
      </c>
    </row>
    <row r="16" spans="1:20" ht="12" customHeight="1">
      <c r="D16" s="212" t="s">
        <v>371</v>
      </c>
      <c r="E16" s="213" t="s">
        <v>210</v>
      </c>
      <c r="F16" s="199" t="s">
        <v>2155</v>
      </c>
      <c r="G16" s="199">
        <v>20</v>
      </c>
      <c r="H16" s="210">
        <f>SUM(I16:L16)</f>
        <v>0</v>
      </c>
      <c r="I16" s="214"/>
      <c r="J16" s="214"/>
      <c r="K16" s="214"/>
      <c r="L16" s="214"/>
      <c r="N16" s="206"/>
      <c r="O16" s="206"/>
      <c r="P16" s="206"/>
      <c r="Q16" s="206"/>
      <c r="R16" s="206"/>
      <c r="S16" s="206"/>
      <c r="T16" s="211" t="s">
        <v>2156</v>
      </c>
    </row>
    <row r="17" spans="3:22" ht="12" customHeight="1">
      <c r="D17" s="212" t="s">
        <v>372</v>
      </c>
      <c r="E17" s="213" t="s">
        <v>499</v>
      </c>
      <c r="F17" s="199" t="s">
        <v>2155</v>
      </c>
      <c r="G17" s="199">
        <v>30</v>
      </c>
      <c r="H17" s="210">
        <f>SUM(I17:L17)</f>
        <v>0</v>
      </c>
      <c r="I17" s="210">
        <f>SUM(I18:I19)</f>
        <v>0</v>
      </c>
      <c r="J17" s="210">
        <f>SUM(J18:J19)</f>
        <v>0</v>
      </c>
      <c r="K17" s="210">
        <f>SUM(K18:K19)</f>
        <v>0</v>
      </c>
      <c r="L17" s="210">
        <f>SUM(L18:L19)</f>
        <v>0</v>
      </c>
      <c r="N17" s="206"/>
      <c r="O17" s="206"/>
      <c r="P17" s="206"/>
      <c r="Q17" s="206"/>
      <c r="R17" s="206"/>
      <c r="S17" s="206"/>
      <c r="T17" s="211" t="s">
        <v>2156</v>
      </c>
    </row>
    <row r="18" spans="3:22" ht="12" hidden="1" customHeight="1">
      <c r="D18" s="215"/>
      <c r="E18" s="216"/>
      <c r="F18" s="217"/>
      <c r="G18" s="217"/>
      <c r="H18" s="218"/>
      <c r="I18" s="218"/>
      <c r="J18" s="218"/>
      <c r="K18" s="218"/>
      <c r="L18" s="219"/>
      <c r="N18" s="211" t="s">
        <v>2157</v>
      </c>
      <c r="O18" s="206"/>
      <c r="P18" s="206"/>
      <c r="Q18" s="206"/>
      <c r="R18" s="206"/>
      <c r="S18" s="206"/>
      <c r="T18" s="206"/>
    </row>
    <row r="19" spans="3:22" ht="12" customHeight="1">
      <c r="D19" s="220"/>
      <c r="E19" s="216" t="s">
        <v>334</v>
      </c>
      <c r="F19" s="217"/>
      <c r="G19" s="217"/>
      <c r="H19" s="218"/>
      <c r="I19" s="218"/>
      <c r="J19" s="218"/>
      <c r="K19" s="218"/>
      <c r="L19" s="219"/>
      <c r="N19" s="206"/>
      <c r="O19" s="206"/>
      <c r="P19" s="206"/>
      <c r="Q19" s="206"/>
      <c r="R19" s="206"/>
      <c r="S19" s="206"/>
      <c r="T19" s="221" t="s">
        <v>2158</v>
      </c>
    </row>
    <row r="20" spans="3:22" ht="12" customHeight="1">
      <c r="D20" s="212" t="s">
        <v>373</v>
      </c>
      <c r="E20" s="213" t="s">
        <v>500</v>
      </c>
      <c r="F20" s="199" t="s">
        <v>2155</v>
      </c>
      <c r="G20" s="199" t="s">
        <v>211</v>
      </c>
      <c r="H20" s="210">
        <f>SUM(I20:L20)</f>
        <v>0</v>
      </c>
      <c r="I20" s="210">
        <f>SUM(I21:I22)</f>
        <v>0</v>
      </c>
      <c r="J20" s="210">
        <f>SUM(J21:J22)</f>
        <v>0</v>
      </c>
      <c r="K20" s="210">
        <f>SUM(K21:K22)</f>
        <v>0</v>
      </c>
      <c r="L20" s="210">
        <f>SUM(L21:L22)</f>
        <v>0</v>
      </c>
      <c r="N20" s="206"/>
      <c r="O20" s="206"/>
      <c r="P20" s="206"/>
      <c r="Q20" s="206"/>
      <c r="R20" s="206"/>
      <c r="S20" s="206"/>
      <c r="T20" s="211" t="s">
        <v>2156</v>
      </c>
    </row>
    <row r="21" spans="3:22" ht="12" hidden="1" customHeight="1">
      <c r="D21" s="215"/>
      <c r="E21" s="216"/>
      <c r="F21" s="217"/>
      <c r="G21" s="217"/>
      <c r="H21" s="218"/>
      <c r="I21" s="218"/>
      <c r="J21" s="218"/>
      <c r="K21" s="218"/>
      <c r="L21" s="219"/>
      <c r="N21" s="211" t="s">
        <v>2157</v>
      </c>
      <c r="O21" s="206"/>
      <c r="P21" s="206"/>
      <c r="Q21" s="206"/>
      <c r="R21" s="206"/>
      <c r="S21" s="206"/>
      <c r="T21" s="206"/>
    </row>
    <row r="22" spans="3:22" ht="12" customHeight="1">
      <c r="D22" s="220"/>
      <c r="E22" s="216" t="s">
        <v>334</v>
      </c>
      <c r="F22" s="217"/>
      <c r="G22" s="217"/>
      <c r="H22" s="218"/>
      <c r="I22" s="218"/>
      <c r="J22" s="218"/>
      <c r="K22" s="218"/>
      <c r="L22" s="219"/>
      <c r="N22" s="206"/>
      <c r="O22" s="206"/>
      <c r="P22" s="206"/>
      <c r="Q22" s="206"/>
      <c r="R22" s="206"/>
      <c r="S22" s="206"/>
      <c r="T22" s="221" t="s">
        <v>2159</v>
      </c>
    </row>
    <row r="23" spans="3:22" ht="12" customHeight="1">
      <c r="D23" s="212" t="s">
        <v>374</v>
      </c>
      <c r="E23" s="213" t="s">
        <v>501</v>
      </c>
      <c r="F23" s="199" t="s">
        <v>2155</v>
      </c>
      <c r="G23" s="199" t="s">
        <v>212</v>
      </c>
      <c r="H23" s="210">
        <f>SUM(I23:L23)</f>
        <v>90442.320999999996</v>
      </c>
      <c r="I23" s="210">
        <f>SUM(I24:I28)</f>
        <v>12082.609</v>
      </c>
      <c r="J23" s="210">
        <f>SUM(J24:J28)</f>
        <v>58678.881000000001</v>
      </c>
      <c r="K23" s="210">
        <f>SUM(K24:K28)</f>
        <v>19680.830999999998</v>
      </c>
      <c r="L23" s="210">
        <f>SUM(L24:L28)</f>
        <v>0</v>
      </c>
      <c r="N23" s="206"/>
      <c r="O23" s="206"/>
      <c r="P23" s="206"/>
      <c r="Q23" s="206"/>
      <c r="R23" s="206"/>
      <c r="S23" s="206"/>
      <c r="T23" s="211" t="s">
        <v>2156</v>
      </c>
    </row>
    <row r="24" spans="3:22" ht="12" hidden="1" customHeight="1">
      <c r="D24" s="215"/>
      <c r="E24" s="216"/>
      <c r="F24" s="217"/>
      <c r="G24" s="217"/>
      <c r="H24" s="218"/>
      <c r="I24" s="218"/>
      <c r="J24" s="218"/>
      <c r="K24" s="218"/>
      <c r="L24" s="219"/>
      <c r="N24" s="211" t="s">
        <v>2157</v>
      </c>
      <c r="O24" s="206"/>
      <c r="P24" s="206"/>
      <c r="Q24" s="206"/>
      <c r="R24" s="206"/>
      <c r="S24" s="206"/>
      <c r="T24" s="206"/>
    </row>
    <row r="25" spans="3:22" s="188" customFormat="1" ht="12" customHeight="1">
      <c r="C25" s="222" t="s">
        <v>2160</v>
      </c>
      <c r="D25" s="212" t="str">
        <f>"1.4."&amp;N25</f>
        <v>1.4.1</v>
      </c>
      <c r="E25" s="223" t="s">
        <v>2047</v>
      </c>
      <c r="F25" s="199" t="s">
        <v>2155</v>
      </c>
      <c r="G25" s="199" t="s">
        <v>212</v>
      </c>
      <c r="H25" s="210">
        <f>SUM(I25:L25)</f>
        <v>85820.754000000001</v>
      </c>
      <c r="I25" s="214">
        <v>12082.609</v>
      </c>
      <c r="J25" s="214">
        <v>58678.881000000001</v>
      </c>
      <c r="K25" s="214">
        <v>15059.263999999999</v>
      </c>
      <c r="L25" s="214"/>
      <c r="N25" s="211" t="s">
        <v>370</v>
      </c>
      <c r="O25" s="224" t="s">
        <v>2047</v>
      </c>
      <c r="P25" s="224" t="s">
        <v>2161</v>
      </c>
      <c r="Q25" s="224" t="s">
        <v>1842</v>
      </c>
      <c r="R25" s="224" t="s">
        <v>1438</v>
      </c>
      <c r="S25" s="211" t="s">
        <v>2162</v>
      </c>
      <c r="T25" s="211" t="s">
        <v>2163</v>
      </c>
      <c r="V25" s="189"/>
    </row>
    <row r="26" spans="3:22" s="188" customFormat="1" ht="12" customHeight="1">
      <c r="C26" s="222" t="s">
        <v>2160</v>
      </c>
      <c r="D26" s="212" t="str">
        <f>"1.4."&amp;N26</f>
        <v>1.4.2</v>
      </c>
      <c r="E26" s="223" t="s">
        <v>1467</v>
      </c>
      <c r="F26" s="199" t="s">
        <v>2155</v>
      </c>
      <c r="G26" s="199" t="s">
        <v>212</v>
      </c>
      <c r="H26" s="210">
        <f>SUM(I26:L26)</f>
        <v>4281.8549999999996</v>
      </c>
      <c r="I26" s="214"/>
      <c r="J26" s="214"/>
      <c r="K26" s="214">
        <v>4281.8549999999996</v>
      </c>
      <c r="L26" s="214"/>
      <c r="N26" s="211" t="s">
        <v>375</v>
      </c>
      <c r="O26" s="224" t="s">
        <v>1467</v>
      </c>
      <c r="P26" s="224" t="s">
        <v>2164</v>
      </c>
      <c r="Q26" s="224" t="s">
        <v>1468</v>
      </c>
      <c r="R26" s="224" t="s">
        <v>1438</v>
      </c>
      <c r="S26" s="211" t="s">
        <v>2162</v>
      </c>
      <c r="T26" s="211" t="s">
        <v>2163</v>
      </c>
      <c r="V26" s="189"/>
    </row>
    <row r="27" spans="3:22" s="188" customFormat="1" ht="12" customHeight="1">
      <c r="C27" s="222" t="s">
        <v>2160</v>
      </c>
      <c r="D27" s="212" t="str">
        <f>"1.4."&amp;N27</f>
        <v>1.4.3</v>
      </c>
      <c r="E27" s="223" t="s">
        <v>1713</v>
      </c>
      <c r="F27" s="199" t="s">
        <v>2155</v>
      </c>
      <c r="G27" s="199" t="s">
        <v>212</v>
      </c>
      <c r="H27" s="210">
        <f>SUM(I27:L27)</f>
        <v>339.71199999999999</v>
      </c>
      <c r="I27" s="214"/>
      <c r="J27" s="214"/>
      <c r="K27" s="214">
        <v>339.71199999999999</v>
      </c>
      <c r="L27" s="214"/>
      <c r="N27" s="211" t="s">
        <v>380</v>
      </c>
      <c r="O27" s="224" t="s">
        <v>1713</v>
      </c>
      <c r="P27" s="224" t="s">
        <v>2165</v>
      </c>
      <c r="Q27" s="224" t="s">
        <v>1714</v>
      </c>
      <c r="R27" s="224" t="s">
        <v>1446</v>
      </c>
      <c r="S27" s="211" t="s">
        <v>2162</v>
      </c>
      <c r="T27" s="211" t="s">
        <v>2163</v>
      </c>
      <c r="V27" s="189"/>
    </row>
    <row r="28" spans="3:22" ht="12" customHeight="1">
      <c r="D28" s="220"/>
      <c r="E28" s="216" t="s">
        <v>334</v>
      </c>
      <c r="F28" s="217"/>
      <c r="G28" s="217"/>
      <c r="H28" s="218"/>
      <c r="I28" s="218"/>
      <c r="J28" s="218"/>
      <c r="K28" s="218"/>
      <c r="L28" s="219"/>
      <c r="N28" s="206"/>
      <c r="O28" s="206"/>
      <c r="P28" s="206"/>
      <c r="Q28" s="206"/>
      <c r="R28" s="206"/>
      <c r="S28" s="206"/>
      <c r="T28" s="221" t="s">
        <v>2166</v>
      </c>
    </row>
    <row r="29" spans="3:22" ht="12" customHeight="1">
      <c r="D29" s="207" t="s">
        <v>375</v>
      </c>
      <c r="E29" s="208" t="s">
        <v>157</v>
      </c>
      <c r="F29" s="209" t="s">
        <v>2155</v>
      </c>
      <c r="G29" s="209" t="s">
        <v>213</v>
      </c>
      <c r="H29" s="210">
        <f t="shared" ref="H29:H41" si="0">SUM(I29:L29)</f>
        <v>36542.333000000006</v>
      </c>
      <c r="I29" s="210">
        <f>SUM(I31,I32,I33)</f>
        <v>0</v>
      </c>
      <c r="J29" s="210">
        <f>SUM(J30,J32,J33)</f>
        <v>0</v>
      </c>
      <c r="K29" s="210">
        <f>SUM(K30,K31,K33)</f>
        <v>23413.043000000005</v>
      </c>
      <c r="L29" s="210">
        <f>SUM(L30,L31,L32)</f>
        <v>13129.290000000003</v>
      </c>
      <c r="N29" s="206"/>
      <c r="O29" s="206"/>
      <c r="P29" s="206"/>
      <c r="Q29" s="206"/>
      <c r="R29" s="206"/>
      <c r="S29" s="206"/>
      <c r="T29" s="211" t="s">
        <v>2156</v>
      </c>
    </row>
    <row r="30" spans="3:22" ht="12" customHeight="1">
      <c r="D30" s="212" t="s">
        <v>376</v>
      </c>
      <c r="E30" s="213" t="s">
        <v>134</v>
      </c>
      <c r="F30" s="199" t="s">
        <v>2155</v>
      </c>
      <c r="G30" s="199" t="s">
        <v>214</v>
      </c>
      <c r="H30" s="210">
        <f t="shared" si="0"/>
        <v>11882.071</v>
      </c>
      <c r="I30" s="225"/>
      <c r="J30" s="214"/>
      <c r="K30" s="214">
        <f>I15-I49</f>
        <v>11882.071</v>
      </c>
      <c r="L30" s="214"/>
      <c r="N30" s="206"/>
      <c r="O30" s="206"/>
      <c r="P30" s="206"/>
      <c r="Q30" s="206"/>
      <c r="R30" s="206"/>
      <c r="S30" s="206"/>
      <c r="T30" s="211" t="s">
        <v>2156</v>
      </c>
    </row>
    <row r="31" spans="3:22" ht="12" customHeight="1">
      <c r="D31" s="212" t="s">
        <v>377</v>
      </c>
      <c r="E31" s="213" t="s">
        <v>135</v>
      </c>
      <c r="F31" s="199" t="s">
        <v>2155</v>
      </c>
      <c r="G31" s="199" t="s">
        <v>215</v>
      </c>
      <c r="H31" s="210">
        <f t="shared" si="0"/>
        <v>11530.972000000003</v>
      </c>
      <c r="I31" s="214"/>
      <c r="J31" s="225"/>
      <c r="K31" s="214">
        <f>J23-J35-J49</f>
        <v>11530.972000000003</v>
      </c>
      <c r="L31" s="214"/>
      <c r="N31" s="206"/>
      <c r="O31" s="206"/>
      <c r="P31" s="206"/>
      <c r="Q31" s="206"/>
      <c r="R31" s="206"/>
      <c r="S31" s="206"/>
      <c r="T31" s="211" t="s">
        <v>2156</v>
      </c>
    </row>
    <row r="32" spans="3:22" ht="12" customHeight="1">
      <c r="D32" s="212" t="s">
        <v>378</v>
      </c>
      <c r="E32" s="213" t="s">
        <v>136</v>
      </c>
      <c r="F32" s="199" t="s">
        <v>2155</v>
      </c>
      <c r="G32" s="199" t="s">
        <v>216</v>
      </c>
      <c r="H32" s="210">
        <f t="shared" si="0"/>
        <v>13129.290000000003</v>
      </c>
      <c r="I32" s="214"/>
      <c r="J32" s="214"/>
      <c r="K32" s="225"/>
      <c r="L32" s="214">
        <f>K15+K29-K35-K49</f>
        <v>13129.290000000003</v>
      </c>
      <c r="N32" s="206"/>
      <c r="O32" s="206"/>
      <c r="P32" s="206"/>
      <c r="Q32" s="206"/>
      <c r="R32" s="206"/>
      <c r="S32" s="206"/>
      <c r="T32" s="211" t="s">
        <v>2156</v>
      </c>
    </row>
    <row r="33" spans="3:22" ht="12" customHeight="1">
      <c r="D33" s="212" t="s">
        <v>379</v>
      </c>
      <c r="E33" s="213" t="s">
        <v>158</v>
      </c>
      <c r="F33" s="199" t="s">
        <v>2155</v>
      </c>
      <c r="G33" s="199" t="s">
        <v>217</v>
      </c>
      <c r="H33" s="210">
        <f t="shared" si="0"/>
        <v>0</v>
      </c>
      <c r="I33" s="214"/>
      <c r="J33" s="214"/>
      <c r="K33" s="214"/>
      <c r="L33" s="225"/>
      <c r="N33" s="206"/>
      <c r="O33" s="206"/>
      <c r="P33" s="206"/>
      <c r="Q33" s="206"/>
      <c r="R33" s="206"/>
      <c r="S33" s="206"/>
      <c r="T33" s="211" t="s">
        <v>2156</v>
      </c>
    </row>
    <row r="34" spans="3:22" ht="12" customHeight="1">
      <c r="D34" s="207" t="s">
        <v>380</v>
      </c>
      <c r="E34" s="208" t="s">
        <v>161</v>
      </c>
      <c r="F34" s="209" t="s">
        <v>2155</v>
      </c>
      <c r="G34" s="209" t="s">
        <v>218</v>
      </c>
      <c r="H34" s="210">
        <f t="shared" si="0"/>
        <v>0</v>
      </c>
      <c r="I34" s="214"/>
      <c r="J34" s="214"/>
      <c r="K34" s="214"/>
      <c r="L34" s="214"/>
      <c r="N34" s="206"/>
      <c r="O34" s="206"/>
      <c r="P34" s="206"/>
      <c r="Q34" s="206"/>
      <c r="R34" s="206"/>
      <c r="S34" s="206"/>
      <c r="T34" s="211" t="s">
        <v>2156</v>
      </c>
    </row>
    <row r="35" spans="3:22" ht="12" customHeight="1">
      <c r="D35" s="207" t="s">
        <v>381</v>
      </c>
      <c r="E35" s="208" t="s">
        <v>502</v>
      </c>
      <c r="F35" s="209" t="s">
        <v>2155</v>
      </c>
      <c r="G35" s="209" t="s">
        <v>219</v>
      </c>
      <c r="H35" s="210">
        <f t="shared" si="0"/>
        <v>88437.849999999991</v>
      </c>
      <c r="I35" s="210">
        <f>SUM(I36,I38,I41,I45)</f>
        <v>0</v>
      </c>
      <c r="J35" s="210">
        <f>SUM(J36,J38,J41,J45)</f>
        <v>46575.811999999998</v>
      </c>
      <c r="K35" s="210">
        <f>SUM(K36,K38,K41,K45)</f>
        <v>29041.755000000001</v>
      </c>
      <c r="L35" s="210">
        <f>SUM(L36,L38,L41,L45)</f>
        <v>12820.282999999999</v>
      </c>
      <c r="N35" s="206"/>
      <c r="O35" s="206"/>
      <c r="P35" s="206"/>
      <c r="Q35" s="206"/>
      <c r="R35" s="206"/>
      <c r="S35" s="206"/>
      <c r="T35" s="211" t="s">
        <v>2156</v>
      </c>
    </row>
    <row r="36" spans="3:22" ht="24" customHeight="1">
      <c r="D36" s="212" t="s">
        <v>382</v>
      </c>
      <c r="E36" s="213" t="s">
        <v>2167</v>
      </c>
      <c r="F36" s="199" t="s">
        <v>2155</v>
      </c>
      <c r="G36" s="199" t="s">
        <v>220</v>
      </c>
      <c r="H36" s="210">
        <f t="shared" si="0"/>
        <v>0</v>
      </c>
      <c r="I36" s="214"/>
      <c r="J36" s="214"/>
      <c r="K36" s="214"/>
      <c r="L36" s="214"/>
      <c r="N36" s="206"/>
      <c r="O36" s="206"/>
      <c r="P36" s="206"/>
      <c r="Q36" s="206"/>
      <c r="R36" s="206"/>
      <c r="S36" s="206"/>
      <c r="T36" s="211" t="s">
        <v>2156</v>
      </c>
    </row>
    <row r="37" spans="3:22" ht="12" customHeight="1">
      <c r="D37" s="212" t="s">
        <v>486</v>
      </c>
      <c r="E37" s="226" t="s">
        <v>2168</v>
      </c>
      <c r="F37" s="199" t="s">
        <v>2155</v>
      </c>
      <c r="G37" s="199" t="s">
        <v>223</v>
      </c>
      <c r="H37" s="210">
        <f t="shared" si="0"/>
        <v>0</v>
      </c>
      <c r="I37" s="214"/>
      <c r="J37" s="214"/>
      <c r="K37" s="214"/>
      <c r="L37" s="214"/>
      <c r="N37" s="206"/>
      <c r="O37" s="206"/>
      <c r="P37" s="206"/>
      <c r="Q37" s="206"/>
      <c r="R37" s="206"/>
      <c r="S37" s="206"/>
      <c r="T37" s="211" t="s">
        <v>2156</v>
      </c>
    </row>
    <row r="38" spans="3:22" ht="12" customHeight="1">
      <c r="D38" s="212" t="s">
        <v>383</v>
      </c>
      <c r="E38" s="213" t="s">
        <v>221</v>
      </c>
      <c r="F38" s="199" t="s">
        <v>2155</v>
      </c>
      <c r="G38" s="199" t="s">
        <v>224</v>
      </c>
      <c r="H38" s="210">
        <f t="shared" si="0"/>
        <v>50333.36099999999</v>
      </c>
      <c r="I38" s="214"/>
      <c r="J38" s="214">
        <f>46575.812-J43</f>
        <v>8471.3229999999967</v>
      </c>
      <c r="K38" s="214">
        <v>29041.755000000001</v>
      </c>
      <c r="L38" s="214">
        <v>12820.282999999999</v>
      </c>
      <c r="N38" s="206"/>
      <c r="O38" s="206"/>
      <c r="P38" s="206"/>
      <c r="Q38" s="206"/>
      <c r="R38" s="206"/>
      <c r="S38" s="206"/>
      <c r="T38" s="211" t="s">
        <v>2156</v>
      </c>
    </row>
    <row r="39" spans="3:22" ht="12" customHeight="1">
      <c r="D39" s="212" t="s">
        <v>487</v>
      </c>
      <c r="E39" s="226" t="s">
        <v>504</v>
      </c>
      <c r="F39" s="199" t="s">
        <v>2155</v>
      </c>
      <c r="G39" s="199" t="s">
        <v>225</v>
      </c>
      <c r="H39" s="210">
        <f t="shared" si="0"/>
        <v>0</v>
      </c>
      <c r="I39" s="214"/>
      <c r="J39" s="214"/>
      <c r="K39" s="214"/>
      <c r="L39" s="214"/>
      <c r="N39" s="206"/>
      <c r="O39" s="206"/>
      <c r="P39" s="206"/>
      <c r="Q39" s="206"/>
      <c r="R39" s="206"/>
      <c r="S39" s="206"/>
      <c r="T39" s="211" t="s">
        <v>2156</v>
      </c>
    </row>
    <row r="40" spans="3:22" ht="12" customHeight="1">
      <c r="D40" s="212" t="s">
        <v>488</v>
      </c>
      <c r="E40" s="227" t="s">
        <v>2169</v>
      </c>
      <c r="F40" s="199" t="s">
        <v>2155</v>
      </c>
      <c r="G40" s="199" t="s">
        <v>226</v>
      </c>
      <c r="H40" s="210">
        <f t="shared" si="0"/>
        <v>0</v>
      </c>
      <c r="I40" s="214"/>
      <c r="J40" s="214"/>
      <c r="K40" s="214"/>
      <c r="L40" s="214"/>
      <c r="N40" s="206"/>
      <c r="O40" s="206"/>
      <c r="P40" s="206"/>
      <c r="Q40" s="206"/>
      <c r="R40" s="206"/>
      <c r="S40" s="206"/>
      <c r="T40" s="211" t="s">
        <v>2156</v>
      </c>
    </row>
    <row r="41" spans="3:22" ht="12" customHeight="1">
      <c r="D41" s="212" t="s">
        <v>384</v>
      </c>
      <c r="E41" s="213" t="s">
        <v>505</v>
      </c>
      <c r="F41" s="199" t="s">
        <v>2155</v>
      </c>
      <c r="G41" s="199" t="s">
        <v>227</v>
      </c>
      <c r="H41" s="210">
        <f t="shared" si="0"/>
        <v>38104.489000000001</v>
      </c>
      <c r="I41" s="210">
        <f>SUM(I42:I44)</f>
        <v>0</v>
      </c>
      <c r="J41" s="210">
        <f>SUM(J42:J44)</f>
        <v>38104.489000000001</v>
      </c>
      <c r="K41" s="210">
        <f>SUM(K42:K44)</f>
        <v>0</v>
      </c>
      <c r="L41" s="210">
        <f>SUM(L42:L44)</f>
        <v>0</v>
      </c>
      <c r="N41" s="206"/>
      <c r="O41" s="206"/>
      <c r="P41" s="206"/>
      <c r="Q41" s="206"/>
      <c r="R41" s="206"/>
      <c r="S41" s="206"/>
      <c r="T41" s="211" t="s">
        <v>2156</v>
      </c>
    </row>
    <row r="42" spans="3:22" ht="12" hidden="1" customHeight="1">
      <c r="D42" s="215"/>
      <c r="E42" s="216"/>
      <c r="F42" s="217"/>
      <c r="G42" s="217"/>
      <c r="H42" s="218"/>
      <c r="I42" s="218"/>
      <c r="J42" s="218"/>
      <c r="K42" s="218"/>
      <c r="L42" s="219"/>
      <c r="N42" s="211" t="s">
        <v>2157</v>
      </c>
      <c r="O42" s="206"/>
      <c r="P42" s="206"/>
      <c r="Q42" s="206"/>
      <c r="R42" s="206"/>
      <c r="S42" s="206"/>
      <c r="T42" s="206"/>
    </row>
    <row r="43" spans="3:22" s="188" customFormat="1" ht="12" customHeight="1">
      <c r="C43" s="222" t="s">
        <v>2160</v>
      </c>
      <c r="D43" s="212" t="str">
        <f>"4.3."&amp;N43</f>
        <v>4.3.1</v>
      </c>
      <c r="E43" s="223" t="s">
        <v>1467</v>
      </c>
      <c r="F43" s="199" t="s">
        <v>2155</v>
      </c>
      <c r="G43" s="199" t="s">
        <v>227</v>
      </c>
      <c r="H43" s="210">
        <f>SUM(I43:L43)</f>
        <v>38104.489000000001</v>
      </c>
      <c r="I43" s="214"/>
      <c r="J43" s="214">
        <v>38104.489000000001</v>
      </c>
      <c r="K43" s="214"/>
      <c r="L43" s="214"/>
      <c r="N43" s="211" t="s">
        <v>370</v>
      </c>
      <c r="O43" s="224" t="s">
        <v>1467</v>
      </c>
      <c r="P43" s="224" t="s">
        <v>2164</v>
      </c>
      <c r="Q43" s="224" t="s">
        <v>1468</v>
      </c>
      <c r="R43" s="224" t="s">
        <v>1438</v>
      </c>
      <c r="S43" s="211" t="s">
        <v>2162</v>
      </c>
      <c r="T43" s="211" t="s">
        <v>2170</v>
      </c>
      <c r="V43" s="189"/>
    </row>
    <row r="44" spans="3:22" ht="12" customHeight="1">
      <c r="D44" s="220"/>
      <c r="E44" s="216" t="s">
        <v>334</v>
      </c>
      <c r="F44" s="217"/>
      <c r="G44" s="217"/>
      <c r="H44" s="218"/>
      <c r="I44" s="218"/>
      <c r="J44" s="218"/>
      <c r="K44" s="218"/>
      <c r="L44" s="219"/>
      <c r="N44" s="206"/>
      <c r="O44" s="206"/>
      <c r="P44" s="206"/>
      <c r="Q44" s="206"/>
      <c r="R44" s="206"/>
      <c r="S44" s="206"/>
      <c r="T44" s="221" t="s">
        <v>2171</v>
      </c>
    </row>
    <row r="45" spans="3:22" ht="12" customHeight="1">
      <c r="D45" s="212" t="s">
        <v>385</v>
      </c>
      <c r="E45" s="213" t="s">
        <v>2172</v>
      </c>
      <c r="F45" s="199" t="s">
        <v>2155</v>
      </c>
      <c r="G45" s="199" t="s">
        <v>228</v>
      </c>
      <c r="H45" s="210">
        <f t="shared" ref="H45:H53" si="1">SUM(I45:L45)</f>
        <v>0</v>
      </c>
      <c r="I45" s="214"/>
      <c r="J45" s="214"/>
      <c r="K45" s="214"/>
      <c r="L45" s="214"/>
      <c r="N45" s="206"/>
      <c r="O45" s="206"/>
      <c r="P45" s="206"/>
      <c r="Q45" s="206"/>
      <c r="R45" s="206"/>
      <c r="S45" s="206"/>
      <c r="T45" s="211" t="s">
        <v>2156</v>
      </c>
    </row>
    <row r="46" spans="3:22" ht="12" customHeight="1">
      <c r="D46" s="207" t="s">
        <v>386</v>
      </c>
      <c r="E46" s="208" t="s">
        <v>159</v>
      </c>
      <c r="F46" s="209" t="s">
        <v>2155</v>
      </c>
      <c r="G46" s="209" t="s">
        <v>229</v>
      </c>
      <c r="H46" s="210">
        <f t="shared" si="1"/>
        <v>36542.333000000006</v>
      </c>
      <c r="I46" s="214">
        <f>I15-I49</f>
        <v>11882.071</v>
      </c>
      <c r="J46" s="214">
        <f>J23-J35-J49</f>
        <v>11530.972000000003</v>
      </c>
      <c r="K46" s="214">
        <f>K15+K29-K35-K49</f>
        <v>13129.290000000003</v>
      </c>
      <c r="L46" s="214"/>
      <c r="N46" s="206"/>
      <c r="O46" s="206"/>
      <c r="P46" s="206"/>
      <c r="Q46" s="206"/>
      <c r="R46" s="206"/>
      <c r="S46" s="206"/>
      <c r="T46" s="211" t="s">
        <v>2156</v>
      </c>
    </row>
    <row r="47" spans="3:22" ht="12" customHeight="1">
      <c r="D47" s="207" t="s">
        <v>387</v>
      </c>
      <c r="E47" s="208" t="s">
        <v>160</v>
      </c>
      <c r="F47" s="209" t="s">
        <v>2155</v>
      </c>
      <c r="G47" s="209" t="s">
        <v>230</v>
      </c>
      <c r="H47" s="210">
        <f t="shared" si="1"/>
        <v>0</v>
      </c>
      <c r="I47" s="214"/>
      <c r="J47" s="214"/>
      <c r="K47" s="214"/>
      <c r="L47" s="214"/>
      <c r="N47" s="206"/>
      <c r="O47" s="206"/>
      <c r="P47" s="206"/>
      <c r="Q47" s="206"/>
      <c r="R47" s="206"/>
      <c r="S47" s="206"/>
      <c r="T47" s="211" t="s">
        <v>2156</v>
      </c>
    </row>
    <row r="48" spans="3:22" ht="12" customHeight="1">
      <c r="D48" s="207" t="s">
        <v>388</v>
      </c>
      <c r="E48" s="208" t="s">
        <v>162</v>
      </c>
      <c r="F48" s="209" t="s">
        <v>2155</v>
      </c>
      <c r="G48" s="209" t="s">
        <v>231</v>
      </c>
      <c r="H48" s="210">
        <f t="shared" si="1"/>
        <v>0</v>
      </c>
      <c r="I48" s="214"/>
      <c r="J48" s="214"/>
      <c r="K48" s="214"/>
      <c r="L48" s="214"/>
      <c r="N48" s="206"/>
      <c r="O48" s="206"/>
      <c r="P48" s="206"/>
      <c r="Q48" s="206"/>
      <c r="R48" s="206"/>
      <c r="S48" s="206"/>
      <c r="T48" s="211" t="s">
        <v>2156</v>
      </c>
    </row>
    <row r="49" spans="3:20" s="189" customFormat="1" ht="12" customHeight="1">
      <c r="C49" s="188"/>
      <c r="D49" s="207" t="s">
        <v>389</v>
      </c>
      <c r="E49" s="208" t="s">
        <v>2173</v>
      </c>
      <c r="F49" s="209" t="s">
        <v>2155</v>
      </c>
      <c r="G49" s="209" t="s">
        <v>232</v>
      </c>
      <c r="H49" s="210">
        <f t="shared" si="1"/>
        <v>2004.471</v>
      </c>
      <c r="I49" s="214">
        <v>200.53800000000001</v>
      </c>
      <c r="J49" s="214">
        <v>572.09699999999998</v>
      </c>
      <c r="K49" s="214">
        <v>922.82899999999995</v>
      </c>
      <c r="L49" s="214">
        <v>309.00700000000001</v>
      </c>
      <c r="M49" s="188"/>
      <c r="N49" s="206"/>
      <c r="O49" s="206"/>
      <c r="P49" s="206"/>
      <c r="Q49" s="206"/>
      <c r="R49" s="206"/>
      <c r="S49" s="206"/>
      <c r="T49" s="211" t="s">
        <v>2156</v>
      </c>
    </row>
    <row r="50" spans="3:20" s="189" customFormat="1" ht="12" customHeight="1">
      <c r="C50" s="188"/>
      <c r="D50" s="212" t="s">
        <v>390</v>
      </c>
      <c r="E50" s="213" t="s">
        <v>474</v>
      </c>
      <c r="F50" s="199" t="s">
        <v>2155</v>
      </c>
      <c r="G50" s="199" t="s">
        <v>234</v>
      </c>
      <c r="H50" s="210">
        <f t="shared" si="1"/>
        <v>0</v>
      </c>
      <c r="I50" s="214"/>
      <c r="J50" s="214"/>
      <c r="K50" s="214"/>
      <c r="L50" s="214"/>
      <c r="M50" s="188"/>
      <c r="N50" s="206"/>
      <c r="O50" s="206"/>
      <c r="P50" s="206"/>
      <c r="Q50" s="206"/>
      <c r="R50" s="206"/>
      <c r="S50" s="206"/>
      <c r="T50" s="211" t="s">
        <v>2156</v>
      </c>
    </row>
    <row r="51" spans="3:20" s="189" customFormat="1" ht="12" customHeight="1">
      <c r="C51" s="188"/>
      <c r="D51" s="207" t="s">
        <v>475</v>
      </c>
      <c r="E51" s="208" t="s">
        <v>2174</v>
      </c>
      <c r="F51" s="209" t="s">
        <v>2155</v>
      </c>
      <c r="G51" s="209" t="s">
        <v>235</v>
      </c>
      <c r="H51" s="210">
        <f t="shared" si="1"/>
        <v>1900.6959999999999</v>
      </c>
      <c r="I51" s="214"/>
      <c r="J51" s="214">
        <v>490.07100000000003</v>
      </c>
      <c r="K51" s="214">
        <v>708.1</v>
      </c>
      <c r="L51" s="214">
        <v>702.52499999999998</v>
      </c>
      <c r="M51" s="188"/>
      <c r="N51" s="206"/>
      <c r="O51" s="206"/>
      <c r="P51" s="206"/>
      <c r="Q51" s="206"/>
      <c r="R51" s="206"/>
      <c r="S51" s="206"/>
      <c r="T51" s="211" t="s">
        <v>2156</v>
      </c>
    </row>
    <row r="52" spans="3:20" s="189" customFormat="1" ht="24" customHeight="1">
      <c r="C52" s="188"/>
      <c r="D52" s="207" t="s">
        <v>391</v>
      </c>
      <c r="E52" s="208" t="s">
        <v>2175</v>
      </c>
      <c r="F52" s="209" t="s">
        <v>2155</v>
      </c>
      <c r="G52" s="209" t="s">
        <v>237</v>
      </c>
      <c r="H52" s="210">
        <f t="shared" si="1"/>
        <v>103.77499999999992</v>
      </c>
      <c r="I52" s="210">
        <f>I49-I51</f>
        <v>200.53800000000001</v>
      </c>
      <c r="J52" s="210">
        <f>J49-J51</f>
        <v>82.025999999999954</v>
      </c>
      <c r="K52" s="210">
        <f>K49-K51</f>
        <v>214.72899999999993</v>
      </c>
      <c r="L52" s="210">
        <f>L49-L51</f>
        <v>-393.51799999999997</v>
      </c>
      <c r="M52" s="188"/>
      <c r="N52" s="206"/>
      <c r="O52" s="206"/>
      <c r="P52" s="206"/>
      <c r="Q52" s="206"/>
      <c r="R52" s="206"/>
      <c r="S52" s="206"/>
      <c r="T52" s="211" t="s">
        <v>2156</v>
      </c>
    </row>
    <row r="53" spans="3:20" s="189" customFormat="1" ht="12" customHeight="1">
      <c r="C53" s="188"/>
      <c r="D53" s="207" t="s">
        <v>392</v>
      </c>
      <c r="E53" s="208" t="s">
        <v>163</v>
      </c>
      <c r="F53" s="209" t="s">
        <v>2155</v>
      </c>
      <c r="G53" s="209" t="s">
        <v>238</v>
      </c>
      <c r="H53" s="210">
        <f t="shared" si="1"/>
        <v>0</v>
      </c>
      <c r="I53" s="210">
        <f>SUM(I15,I29,I34)-SUM(I35,I46:I49)</f>
        <v>0</v>
      </c>
      <c r="J53" s="210">
        <f>SUM(J15,J29,J34)-SUM(J35,J46:J49)</f>
        <v>0</v>
      </c>
      <c r="K53" s="210">
        <f>SUM(K15,K29,K34)-SUM(K35,K46:K49)</f>
        <v>0</v>
      </c>
      <c r="L53" s="210">
        <f>SUM(L15,L29,L34)-SUM(L35,L46:L49)</f>
        <v>0</v>
      </c>
      <c r="M53" s="188"/>
      <c r="N53" s="206"/>
      <c r="O53" s="206"/>
      <c r="P53" s="206"/>
      <c r="Q53" s="206"/>
      <c r="R53" s="206"/>
      <c r="S53" s="206"/>
      <c r="T53" s="211" t="s">
        <v>2156</v>
      </c>
    </row>
    <row r="54" spans="3:20" s="189" customFormat="1" ht="18" customHeight="1">
      <c r="C54" s="188"/>
      <c r="D54" s="201" t="s">
        <v>2176</v>
      </c>
      <c r="E54" s="202"/>
      <c r="F54" s="202"/>
      <c r="G54" s="203"/>
      <c r="H54" s="204"/>
      <c r="I54" s="204"/>
      <c r="J54" s="204"/>
      <c r="K54" s="204"/>
      <c r="L54" s="205"/>
      <c r="M54" s="188"/>
      <c r="N54" s="206"/>
      <c r="O54" s="206"/>
      <c r="P54" s="206"/>
      <c r="Q54" s="206"/>
      <c r="R54" s="206"/>
      <c r="S54" s="206"/>
      <c r="T54" s="206"/>
    </row>
    <row r="55" spans="3:20" s="189" customFormat="1" ht="12" customHeight="1">
      <c r="C55" s="188"/>
      <c r="D55" s="207" t="s">
        <v>393</v>
      </c>
      <c r="E55" s="208" t="s">
        <v>498</v>
      </c>
      <c r="F55" s="209" t="s">
        <v>2177</v>
      </c>
      <c r="G55" s="209" t="s">
        <v>239</v>
      </c>
      <c r="H55" s="210">
        <f>SUM(I55:L55)</f>
        <v>10.324465867579908</v>
      </c>
      <c r="I55" s="210">
        <f>SUM(I56,I57,I60,I63)</f>
        <v>1.3792932648401828</v>
      </c>
      <c r="J55" s="210">
        <f>SUM(J56,J57,J60,J63)</f>
        <v>6.698502397260274</v>
      </c>
      <c r="K55" s="210">
        <f>SUM(K56,K57,K60,K63)</f>
        <v>2.2466702054794516</v>
      </c>
      <c r="L55" s="210">
        <f>SUM(L56,L57,L60,L63)</f>
        <v>0</v>
      </c>
      <c r="M55" s="188"/>
      <c r="N55" s="206"/>
      <c r="O55" s="206"/>
      <c r="P55" s="206"/>
      <c r="Q55" s="206"/>
      <c r="R55" s="206"/>
      <c r="S55" s="206"/>
      <c r="T55" s="211" t="s">
        <v>2156</v>
      </c>
    </row>
    <row r="56" spans="3:20" s="189" customFormat="1" ht="12" customHeight="1">
      <c r="C56" s="188"/>
      <c r="D56" s="212" t="s">
        <v>394</v>
      </c>
      <c r="E56" s="213" t="s">
        <v>210</v>
      </c>
      <c r="F56" s="199" t="s">
        <v>2177</v>
      </c>
      <c r="G56" s="199" t="s">
        <v>240</v>
      </c>
      <c r="H56" s="210">
        <f>SUM(I56:L56)</f>
        <v>0</v>
      </c>
      <c r="I56" s="214"/>
      <c r="J56" s="214"/>
      <c r="K56" s="214"/>
      <c r="L56" s="214"/>
      <c r="M56" s="188"/>
      <c r="N56" s="206"/>
      <c r="O56" s="206"/>
      <c r="P56" s="206"/>
      <c r="Q56" s="206"/>
      <c r="R56" s="206"/>
      <c r="S56" s="206"/>
      <c r="T56" s="211" t="s">
        <v>2156</v>
      </c>
    </row>
    <row r="57" spans="3:20" s="189" customFormat="1" ht="12" customHeight="1">
      <c r="C57" s="188"/>
      <c r="D57" s="212" t="s">
        <v>395</v>
      </c>
      <c r="E57" s="213" t="s">
        <v>499</v>
      </c>
      <c r="F57" s="199" t="s">
        <v>2177</v>
      </c>
      <c r="G57" s="199" t="s">
        <v>241</v>
      </c>
      <c r="H57" s="210">
        <f>SUM(I57:L57)</f>
        <v>0</v>
      </c>
      <c r="I57" s="210">
        <f>SUM(I58:I59)</f>
        <v>0</v>
      </c>
      <c r="J57" s="210">
        <f>SUM(J58:J59)</f>
        <v>0</v>
      </c>
      <c r="K57" s="210">
        <f>SUM(K58:K59)</f>
        <v>0</v>
      </c>
      <c r="L57" s="210">
        <f>SUM(L58:L59)</f>
        <v>0</v>
      </c>
      <c r="M57" s="188"/>
      <c r="N57" s="206"/>
      <c r="O57" s="206"/>
      <c r="P57" s="206"/>
      <c r="Q57" s="206"/>
      <c r="R57" s="206"/>
      <c r="S57" s="206"/>
      <c r="T57" s="211" t="s">
        <v>2156</v>
      </c>
    </row>
    <row r="58" spans="3:20" s="189" customFormat="1" ht="12" hidden="1" customHeight="1">
      <c r="C58" s="188"/>
      <c r="D58" s="215"/>
      <c r="E58" s="216"/>
      <c r="F58" s="217"/>
      <c r="G58" s="217"/>
      <c r="H58" s="218"/>
      <c r="I58" s="218"/>
      <c r="J58" s="218"/>
      <c r="K58" s="218"/>
      <c r="L58" s="219"/>
      <c r="M58" s="188"/>
      <c r="N58" s="211" t="s">
        <v>2157</v>
      </c>
      <c r="O58" s="206"/>
      <c r="P58" s="206"/>
      <c r="Q58" s="206"/>
      <c r="R58" s="206"/>
      <c r="S58" s="206"/>
      <c r="T58" s="206"/>
    </row>
    <row r="59" spans="3:20" s="189" customFormat="1" ht="12" customHeight="1">
      <c r="C59" s="188"/>
      <c r="D59" s="220"/>
      <c r="E59" s="216" t="s">
        <v>334</v>
      </c>
      <c r="F59" s="217"/>
      <c r="G59" s="217"/>
      <c r="H59" s="218"/>
      <c r="I59" s="218"/>
      <c r="J59" s="218"/>
      <c r="K59" s="218"/>
      <c r="L59" s="219"/>
      <c r="M59" s="188"/>
      <c r="N59" s="206"/>
      <c r="O59" s="206"/>
      <c r="P59" s="206"/>
      <c r="Q59" s="206"/>
      <c r="R59" s="206"/>
      <c r="S59" s="206"/>
      <c r="T59" s="221" t="s">
        <v>2178</v>
      </c>
    </row>
    <row r="60" spans="3:20" s="189" customFormat="1" ht="12" customHeight="1">
      <c r="C60" s="188"/>
      <c r="D60" s="212" t="s">
        <v>396</v>
      </c>
      <c r="E60" s="213" t="s">
        <v>500</v>
      </c>
      <c r="F60" s="199" t="s">
        <v>2177</v>
      </c>
      <c r="G60" s="199" t="s">
        <v>242</v>
      </c>
      <c r="H60" s="210">
        <f>SUM(I60:L60)</f>
        <v>0</v>
      </c>
      <c r="I60" s="210">
        <f>SUM(I61:I62)</f>
        <v>0</v>
      </c>
      <c r="J60" s="210">
        <f>SUM(J61:J62)</f>
        <v>0</v>
      </c>
      <c r="K60" s="210">
        <f>SUM(K61:K62)</f>
        <v>0</v>
      </c>
      <c r="L60" s="210">
        <f>SUM(L61:L62)</f>
        <v>0</v>
      </c>
      <c r="M60" s="188"/>
      <c r="N60" s="206"/>
      <c r="O60" s="206"/>
      <c r="P60" s="206"/>
      <c r="Q60" s="206"/>
      <c r="R60" s="206"/>
      <c r="S60" s="206"/>
      <c r="T60" s="211" t="s">
        <v>2156</v>
      </c>
    </row>
    <row r="61" spans="3:20" s="189" customFormat="1" ht="12" hidden="1" customHeight="1">
      <c r="C61" s="188"/>
      <c r="D61" s="215"/>
      <c r="E61" s="216"/>
      <c r="F61" s="217"/>
      <c r="G61" s="217"/>
      <c r="H61" s="218"/>
      <c r="I61" s="218"/>
      <c r="J61" s="218"/>
      <c r="K61" s="218"/>
      <c r="L61" s="219"/>
      <c r="M61" s="188"/>
      <c r="N61" s="211" t="s">
        <v>2157</v>
      </c>
      <c r="O61" s="206"/>
      <c r="P61" s="206"/>
      <c r="Q61" s="206"/>
      <c r="R61" s="206"/>
      <c r="S61" s="206"/>
      <c r="T61" s="206"/>
    </row>
    <row r="62" spans="3:20" s="189" customFormat="1" ht="12" customHeight="1">
      <c r="C62" s="188"/>
      <c r="D62" s="220"/>
      <c r="E62" s="216" t="s">
        <v>334</v>
      </c>
      <c r="F62" s="217"/>
      <c r="G62" s="217"/>
      <c r="H62" s="218"/>
      <c r="I62" s="218"/>
      <c r="J62" s="218"/>
      <c r="K62" s="218"/>
      <c r="L62" s="219"/>
      <c r="M62" s="188"/>
      <c r="N62" s="206"/>
      <c r="O62" s="206"/>
      <c r="P62" s="206"/>
      <c r="Q62" s="206"/>
      <c r="R62" s="206"/>
      <c r="S62" s="206"/>
      <c r="T62" s="221" t="s">
        <v>2179</v>
      </c>
    </row>
    <row r="63" spans="3:20" s="189" customFormat="1" ht="12" customHeight="1">
      <c r="C63" s="188"/>
      <c r="D63" s="212" t="s">
        <v>397</v>
      </c>
      <c r="E63" s="213" t="s">
        <v>501</v>
      </c>
      <c r="F63" s="199" t="s">
        <v>2177</v>
      </c>
      <c r="G63" s="199" t="s">
        <v>243</v>
      </c>
      <c r="H63" s="210">
        <f>SUM(I63:L63)</f>
        <v>10.324465867579908</v>
      </c>
      <c r="I63" s="210">
        <f>SUM(I64:I68)</f>
        <v>1.3792932648401828</v>
      </c>
      <c r="J63" s="210">
        <f>SUM(J64:J68)</f>
        <v>6.698502397260274</v>
      </c>
      <c r="K63" s="210">
        <f>SUM(K64:K68)</f>
        <v>2.2466702054794516</v>
      </c>
      <c r="L63" s="210">
        <f>SUM(L64:L68)</f>
        <v>0</v>
      </c>
      <c r="M63" s="188"/>
      <c r="N63" s="206"/>
      <c r="O63" s="206"/>
      <c r="P63" s="206"/>
      <c r="Q63" s="206"/>
      <c r="R63" s="206"/>
      <c r="S63" s="206"/>
      <c r="T63" s="211" t="s">
        <v>2156</v>
      </c>
    </row>
    <row r="64" spans="3:20" s="189" customFormat="1" ht="12" hidden="1" customHeight="1">
      <c r="C64" s="188"/>
      <c r="D64" s="215"/>
      <c r="E64" s="216"/>
      <c r="F64" s="217"/>
      <c r="G64" s="217"/>
      <c r="H64" s="218"/>
      <c r="I64" s="218"/>
      <c r="J64" s="218"/>
      <c r="K64" s="218"/>
      <c r="L64" s="219"/>
      <c r="M64" s="188"/>
      <c r="N64" s="211" t="s">
        <v>2157</v>
      </c>
      <c r="O64" s="206"/>
      <c r="P64" s="206"/>
      <c r="Q64" s="206"/>
      <c r="R64" s="206"/>
      <c r="S64" s="206"/>
      <c r="T64" s="206"/>
    </row>
    <row r="65" spans="3:22" s="188" customFormat="1" ht="12" customHeight="1">
      <c r="C65" s="222" t="s">
        <v>2160</v>
      </c>
      <c r="D65" s="212" t="str">
        <f>"12.4."&amp;N65</f>
        <v>12.4.1</v>
      </c>
      <c r="E65" s="223" t="s">
        <v>2047</v>
      </c>
      <c r="F65" s="199" t="s">
        <v>2177</v>
      </c>
      <c r="G65" s="199" t="s">
        <v>243</v>
      </c>
      <c r="H65" s="210">
        <f>SUM(I65:L65)</f>
        <v>9.7968897260273966</v>
      </c>
      <c r="I65" s="214">
        <f>I25/8760</f>
        <v>1.3792932648401828</v>
      </c>
      <c r="J65" s="214">
        <f>J25/8760</f>
        <v>6.698502397260274</v>
      </c>
      <c r="K65" s="214">
        <f>K25/8760</f>
        <v>1.7190940639269405</v>
      </c>
      <c r="L65" s="214"/>
      <c r="N65" s="211" t="s">
        <v>370</v>
      </c>
      <c r="O65" s="224" t="s">
        <v>2047</v>
      </c>
      <c r="P65" s="224" t="s">
        <v>2161</v>
      </c>
      <c r="Q65" s="224" t="s">
        <v>1842</v>
      </c>
      <c r="R65" s="224" t="s">
        <v>1438</v>
      </c>
      <c r="S65" s="211" t="s">
        <v>2162</v>
      </c>
      <c r="T65" s="211" t="s">
        <v>2180</v>
      </c>
      <c r="V65" s="189"/>
    </row>
    <row r="66" spans="3:22" s="188" customFormat="1" ht="12" customHeight="1">
      <c r="C66" s="222" t="s">
        <v>2160</v>
      </c>
      <c r="D66" s="212" t="str">
        <f>"12.4."&amp;N66</f>
        <v>12.4.2</v>
      </c>
      <c r="E66" s="223" t="s">
        <v>1467</v>
      </c>
      <c r="F66" s="199" t="s">
        <v>2177</v>
      </c>
      <c r="G66" s="199" t="s">
        <v>243</v>
      </c>
      <c r="H66" s="210">
        <f>SUM(I66:L66)</f>
        <v>0.48879623287671226</v>
      </c>
      <c r="I66" s="214"/>
      <c r="J66" s="214"/>
      <c r="K66" s="214">
        <f>K26/8760</f>
        <v>0.48879623287671226</v>
      </c>
      <c r="L66" s="214"/>
      <c r="N66" s="211" t="s">
        <v>375</v>
      </c>
      <c r="O66" s="224" t="s">
        <v>1467</v>
      </c>
      <c r="P66" s="224" t="s">
        <v>2164</v>
      </c>
      <c r="Q66" s="224" t="s">
        <v>1468</v>
      </c>
      <c r="R66" s="224" t="s">
        <v>1438</v>
      </c>
      <c r="S66" s="211" t="s">
        <v>2162</v>
      </c>
      <c r="T66" s="211" t="s">
        <v>2180</v>
      </c>
      <c r="V66" s="189"/>
    </row>
    <row r="67" spans="3:22" s="188" customFormat="1" ht="12" customHeight="1">
      <c r="C67" s="222" t="s">
        <v>2160</v>
      </c>
      <c r="D67" s="212" t="str">
        <f>"12.4."&amp;N67</f>
        <v>12.4.3</v>
      </c>
      <c r="E67" s="223" t="s">
        <v>1713</v>
      </c>
      <c r="F67" s="199" t="s">
        <v>2177</v>
      </c>
      <c r="G67" s="199" t="s">
        <v>243</v>
      </c>
      <c r="H67" s="210">
        <f>SUM(I67:L67)</f>
        <v>3.8779908675799085E-2</v>
      </c>
      <c r="I67" s="214"/>
      <c r="J67" s="214"/>
      <c r="K67" s="214">
        <f>K27/8760</f>
        <v>3.8779908675799085E-2</v>
      </c>
      <c r="L67" s="214"/>
      <c r="N67" s="211" t="s">
        <v>380</v>
      </c>
      <c r="O67" s="224" t="s">
        <v>1713</v>
      </c>
      <c r="P67" s="224" t="s">
        <v>2165</v>
      </c>
      <c r="Q67" s="224" t="s">
        <v>1714</v>
      </c>
      <c r="R67" s="224" t="s">
        <v>1446</v>
      </c>
      <c r="S67" s="211" t="s">
        <v>2162</v>
      </c>
      <c r="T67" s="211" t="s">
        <v>2180</v>
      </c>
      <c r="V67" s="189"/>
    </row>
    <row r="68" spans="3:22" ht="12" customHeight="1">
      <c r="D68" s="220"/>
      <c r="E68" s="216" t="s">
        <v>334</v>
      </c>
      <c r="F68" s="217"/>
      <c r="G68" s="217"/>
      <c r="H68" s="218"/>
      <c r="I68" s="218"/>
      <c r="J68" s="218"/>
      <c r="K68" s="218"/>
      <c r="L68" s="219"/>
      <c r="N68" s="206"/>
      <c r="O68" s="206"/>
      <c r="P68" s="206"/>
      <c r="Q68" s="206"/>
      <c r="R68" s="206"/>
      <c r="S68" s="206"/>
      <c r="T68" s="221" t="s">
        <v>2181</v>
      </c>
    </row>
    <row r="69" spans="3:22" ht="12" customHeight="1">
      <c r="D69" s="207" t="s">
        <v>398</v>
      </c>
      <c r="E69" s="208" t="s">
        <v>157</v>
      </c>
      <c r="F69" s="209" t="s">
        <v>2177</v>
      </c>
      <c r="G69" s="209" t="s">
        <v>244</v>
      </c>
      <c r="H69" s="210">
        <f t="shared" ref="H69:H81" si="2">SUM(I69:L69)</f>
        <v>4.1714992009132423</v>
      </c>
      <c r="I69" s="210">
        <f>SUM(I71,I72,I73)</f>
        <v>0</v>
      </c>
      <c r="J69" s="210">
        <f>SUM(J70,J72,J73)</f>
        <v>0</v>
      </c>
      <c r="K69" s="210">
        <f>SUM(K70,K71,K73)</f>
        <v>2.6727218036529683</v>
      </c>
      <c r="L69" s="210">
        <f>SUM(L70,L71,L72)</f>
        <v>1.4987773972602743</v>
      </c>
      <c r="N69" s="206"/>
      <c r="O69" s="206"/>
      <c r="P69" s="206"/>
      <c r="Q69" s="206"/>
      <c r="R69" s="206"/>
      <c r="S69" s="206"/>
      <c r="T69" s="211" t="s">
        <v>2156</v>
      </c>
    </row>
    <row r="70" spans="3:22" ht="12" customHeight="1">
      <c r="D70" s="212" t="s">
        <v>399</v>
      </c>
      <c r="E70" s="213" t="s">
        <v>134</v>
      </c>
      <c r="F70" s="199" t="s">
        <v>2177</v>
      </c>
      <c r="G70" s="199" t="s">
        <v>245</v>
      </c>
      <c r="H70" s="210">
        <f t="shared" si="2"/>
        <v>1.3564007990867579</v>
      </c>
      <c r="I70" s="225"/>
      <c r="J70" s="214"/>
      <c r="K70" s="214">
        <f>K30/8760</f>
        <v>1.3564007990867579</v>
      </c>
      <c r="L70" s="214"/>
      <c r="N70" s="206"/>
      <c r="O70" s="206"/>
      <c r="P70" s="206"/>
      <c r="Q70" s="206"/>
      <c r="R70" s="206"/>
      <c r="S70" s="206"/>
      <c r="T70" s="211" t="s">
        <v>2156</v>
      </c>
    </row>
    <row r="71" spans="3:22" ht="12" customHeight="1">
      <c r="D71" s="212" t="s">
        <v>400</v>
      </c>
      <c r="E71" s="213" t="s">
        <v>135</v>
      </c>
      <c r="F71" s="199" t="s">
        <v>2177</v>
      </c>
      <c r="G71" s="199" t="s">
        <v>246</v>
      </c>
      <c r="H71" s="210">
        <f t="shared" si="2"/>
        <v>1.3163210045662104</v>
      </c>
      <c r="I71" s="214"/>
      <c r="J71" s="225"/>
      <c r="K71" s="214">
        <f>K31/8760</f>
        <v>1.3163210045662104</v>
      </c>
      <c r="L71" s="214"/>
      <c r="N71" s="206"/>
      <c r="O71" s="206"/>
      <c r="P71" s="206"/>
      <c r="Q71" s="206"/>
      <c r="R71" s="206"/>
      <c r="S71" s="206"/>
      <c r="T71" s="211" t="s">
        <v>2156</v>
      </c>
    </row>
    <row r="72" spans="3:22" ht="12" customHeight="1">
      <c r="D72" s="212" t="s">
        <v>401</v>
      </c>
      <c r="E72" s="213" t="s">
        <v>136</v>
      </c>
      <c r="F72" s="199" t="s">
        <v>2177</v>
      </c>
      <c r="G72" s="199" t="s">
        <v>247</v>
      </c>
      <c r="H72" s="210">
        <f t="shared" si="2"/>
        <v>1.4987773972602743</v>
      </c>
      <c r="I72" s="214"/>
      <c r="J72" s="214"/>
      <c r="K72" s="225"/>
      <c r="L72" s="214">
        <f>L32/8760</f>
        <v>1.4987773972602743</v>
      </c>
      <c r="N72" s="206"/>
      <c r="O72" s="206"/>
      <c r="P72" s="206"/>
      <c r="Q72" s="206"/>
      <c r="R72" s="206"/>
      <c r="S72" s="206"/>
      <c r="T72" s="211" t="s">
        <v>2156</v>
      </c>
    </row>
    <row r="73" spans="3:22" ht="12" customHeight="1">
      <c r="D73" s="212" t="s">
        <v>402</v>
      </c>
      <c r="E73" s="213" t="s">
        <v>158</v>
      </c>
      <c r="F73" s="199" t="s">
        <v>2177</v>
      </c>
      <c r="G73" s="199" t="s">
        <v>248</v>
      </c>
      <c r="H73" s="210">
        <f t="shared" si="2"/>
        <v>0</v>
      </c>
      <c r="I73" s="214"/>
      <c r="J73" s="214"/>
      <c r="K73" s="214"/>
      <c r="L73" s="225"/>
      <c r="N73" s="206"/>
      <c r="O73" s="206"/>
      <c r="P73" s="206"/>
      <c r="Q73" s="206"/>
      <c r="R73" s="206"/>
      <c r="S73" s="206"/>
      <c r="T73" s="211" t="s">
        <v>2156</v>
      </c>
    </row>
    <row r="74" spans="3:22" ht="12" customHeight="1">
      <c r="D74" s="207" t="s">
        <v>403</v>
      </c>
      <c r="E74" s="208" t="s">
        <v>161</v>
      </c>
      <c r="F74" s="209" t="s">
        <v>2177</v>
      </c>
      <c r="G74" s="209" t="s">
        <v>249</v>
      </c>
      <c r="H74" s="210">
        <f t="shared" si="2"/>
        <v>0</v>
      </c>
      <c r="I74" s="214"/>
      <c r="J74" s="214"/>
      <c r="K74" s="214"/>
      <c r="L74" s="214"/>
      <c r="N74" s="206"/>
      <c r="O74" s="206"/>
      <c r="P74" s="206"/>
      <c r="Q74" s="206"/>
      <c r="R74" s="206"/>
      <c r="S74" s="206"/>
      <c r="T74" s="211" t="s">
        <v>2156</v>
      </c>
    </row>
    <row r="75" spans="3:22" ht="12" customHeight="1">
      <c r="D75" s="207" t="s">
        <v>404</v>
      </c>
      <c r="E75" s="208" t="s">
        <v>502</v>
      </c>
      <c r="F75" s="209" t="s">
        <v>2177</v>
      </c>
      <c r="G75" s="209" t="s">
        <v>250</v>
      </c>
      <c r="H75" s="210">
        <f t="shared" si="2"/>
        <v>10.095644977168948</v>
      </c>
      <c r="I75" s="210">
        <f>SUM(I76,I78,I81,I85)</f>
        <v>0</v>
      </c>
      <c r="J75" s="210">
        <f>SUM(J76,J78,J81,J85)</f>
        <v>5.3168735159817349</v>
      </c>
      <c r="K75" s="210">
        <f>SUM(K76,K78,K81,K85)</f>
        <v>3.3152688356164384</v>
      </c>
      <c r="L75" s="210">
        <f>SUM(L76,L78,L81,L85)</f>
        <v>1.4635026255707761</v>
      </c>
      <c r="N75" s="206"/>
      <c r="O75" s="206"/>
      <c r="P75" s="206"/>
      <c r="Q75" s="206"/>
      <c r="R75" s="206"/>
      <c r="S75" s="206"/>
      <c r="T75" s="211" t="s">
        <v>2156</v>
      </c>
    </row>
    <row r="76" spans="3:22" ht="24" customHeight="1">
      <c r="D76" s="212" t="s">
        <v>405</v>
      </c>
      <c r="E76" s="213" t="s">
        <v>2167</v>
      </c>
      <c r="F76" s="199" t="s">
        <v>2177</v>
      </c>
      <c r="G76" s="199" t="s">
        <v>251</v>
      </c>
      <c r="H76" s="210">
        <f t="shared" si="2"/>
        <v>0</v>
      </c>
      <c r="I76" s="214"/>
      <c r="J76" s="214"/>
      <c r="K76" s="214"/>
      <c r="L76" s="214"/>
      <c r="N76" s="206"/>
      <c r="O76" s="206"/>
      <c r="P76" s="206"/>
      <c r="Q76" s="206"/>
      <c r="R76" s="206"/>
      <c r="S76" s="206"/>
      <c r="T76" s="211" t="s">
        <v>2156</v>
      </c>
    </row>
    <row r="77" spans="3:22" ht="12" customHeight="1">
      <c r="D77" s="212" t="s">
        <v>489</v>
      </c>
      <c r="E77" s="226" t="s">
        <v>2168</v>
      </c>
      <c r="F77" s="199" t="s">
        <v>2177</v>
      </c>
      <c r="G77" s="199" t="s">
        <v>252</v>
      </c>
      <c r="H77" s="210">
        <f t="shared" si="2"/>
        <v>0</v>
      </c>
      <c r="I77" s="214"/>
      <c r="J77" s="214"/>
      <c r="K77" s="214"/>
      <c r="L77" s="214"/>
      <c r="N77" s="206"/>
      <c r="O77" s="206"/>
      <c r="P77" s="206"/>
      <c r="Q77" s="206"/>
      <c r="R77" s="206"/>
      <c r="S77" s="206"/>
      <c r="T77" s="211" t="s">
        <v>2156</v>
      </c>
    </row>
    <row r="78" spans="3:22" ht="12" customHeight="1">
      <c r="D78" s="212" t="s">
        <v>406</v>
      </c>
      <c r="E78" s="213" t="s">
        <v>221</v>
      </c>
      <c r="F78" s="199" t="s">
        <v>2177</v>
      </c>
      <c r="G78" s="199" t="s">
        <v>253</v>
      </c>
      <c r="H78" s="210">
        <f t="shared" si="2"/>
        <v>5.745817465753424</v>
      </c>
      <c r="I78" s="214"/>
      <c r="J78" s="214">
        <f>J38/8760</f>
        <v>0.9670460045662097</v>
      </c>
      <c r="K78" s="214">
        <f>K38/8760</f>
        <v>3.3152688356164384</v>
      </c>
      <c r="L78" s="214">
        <f>L38/8760</f>
        <v>1.4635026255707761</v>
      </c>
      <c r="N78" s="206"/>
      <c r="O78" s="206"/>
      <c r="P78" s="206"/>
      <c r="Q78" s="206"/>
      <c r="R78" s="206"/>
      <c r="S78" s="206"/>
      <c r="T78" s="211" t="s">
        <v>2156</v>
      </c>
    </row>
    <row r="79" spans="3:22" ht="12" customHeight="1">
      <c r="D79" s="212" t="s">
        <v>490</v>
      </c>
      <c r="E79" s="226" t="s">
        <v>504</v>
      </c>
      <c r="F79" s="199" t="s">
        <v>2177</v>
      </c>
      <c r="G79" s="199" t="s">
        <v>254</v>
      </c>
      <c r="H79" s="210">
        <f t="shared" si="2"/>
        <v>0</v>
      </c>
      <c r="I79" s="214"/>
      <c r="J79" s="214"/>
      <c r="K79" s="214"/>
      <c r="L79" s="214"/>
      <c r="N79" s="206"/>
      <c r="O79" s="206"/>
      <c r="P79" s="206"/>
      <c r="Q79" s="206"/>
      <c r="R79" s="206"/>
      <c r="S79" s="206"/>
      <c r="T79" s="211" t="s">
        <v>2156</v>
      </c>
    </row>
    <row r="80" spans="3:22" ht="12" customHeight="1">
      <c r="D80" s="212" t="s">
        <v>491</v>
      </c>
      <c r="E80" s="227" t="s">
        <v>2169</v>
      </c>
      <c r="F80" s="199" t="s">
        <v>2177</v>
      </c>
      <c r="G80" s="199" t="s">
        <v>255</v>
      </c>
      <c r="H80" s="210">
        <f t="shared" si="2"/>
        <v>0</v>
      </c>
      <c r="I80" s="214"/>
      <c r="J80" s="214"/>
      <c r="K80" s="214"/>
      <c r="L80" s="214"/>
      <c r="N80" s="206"/>
      <c r="O80" s="206"/>
      <c r="P80" s="206"/>
      <c r="Q80" s="206"/>
      <c r="R80" s="206"/>
      <c r="S80" s="206"/>
      <c r="T80" s="211" t="s">
        <v>2156</v>
      </c>
    </row>
    <row r="81" spans="3:22" ht="12" customHeight="1">
      <c r="D81" s="212" t="s">
        <v>407</v>
      </c>
      <c r="E81" s="213" t="s">
        <v>505</v>
      </c>
      <c r="F81" s="199" t="s">
        <v>2177</v>
      </c>
      <c r="G81" s="199" t="s">
        <v>256</v>
      </c>
      <c r="H81" s="210">
        <f t="shared" si="2"/>
        <v>4.3498275114155254</v>
      </c>
      <c r="I81" s="210">
        <f>SUM(I82:I84)</f>
        <v>0</v>
      </c>
      <c r="J81" s="210">
        <f>SUM(J82:J84)</f>
        <v>4.3498275114155254</v>
      </c>
      <c r="K81" s="210">
        <f>SUM(K82:K84)</f>
        <v>0</v>
      </c>
      <c r="L81" s="210">
        <f>SUM(L82:L84)</f>
        <v>0</v>
      </c>
      <c r="N81" s="206"/>
      <c r="O81" s="206"/>
      <c r="P81" s="206"/>
      <c r="Q81" s="206"/>
      <c r="R81" s="206"/>
      <c r="S81" s="206"/>
      <c r="T81" s="211" t="s">
        <v>2156</v>
      </c>
    </row>
    <row r="82" spans="3:22" ht="12" hidden="1" customHeight="1">
      <c r="D82" s="215"/>
      <c r="E82" s="216"/>
      <c r="F82" s="217"/>
      <c r="G82" s="217"/>
      <c r="H82" s="218"/>
      <c r="I82" s="218"/>
      <c r="J82" s="218"/>
      <c r="K82" s="218"/>
      <c r="L82" s="219"/>
      <c r="N82" s="211" t="s">
        <v>2157</v>
      </c>
      <c r="O82" s="206"/>
      <c r="P82" s="206"/>
      <c r="Q82" s="206"/>
      <c r="R82" s="206"/>
      <c r="S82" s="206"/>
      <c r="T82" s="206"/>
    </row>
    <row r="83" spans="3:22" s="188" customFormat="1" ht="12" customHeight="1">
      <c r="C83" s="222" t="s">
        <v>2160</v>
      </c>
      <c r="D83" s="212" t="str">
        <f>"15.3."&amp;N83</f>
        <v>15.3.1</v>
      </c>
      <c r="E83" s="223" t="s">
        <v>1467</v>
      </c>
      <c r="F83" s="199" t="s">
        <v>2177</v>
      </c>
      <c r="G83" s="199" t="s">
        <v>256</v>
      </c>
      <c r="H83" s="210">
        <f>SUM(I83:L83)</f>
        <v>4.3498275114155254</v>
      </c>
      <c r="I83" s="214"/>
      <c r="J83" s="214">
        <f>J43/8760</f>
        <v>4.3498275114155254</v>
      </c>
      <c r="K83" s="214"/>
      <c r="L83" s="214"/>
      <c r="N83" s="211" t="s">
        <v>370</v>
      </c>
      <c r="O83" s="224" t="s">
        <v>1467</v>
      </c>
      <c r="P83" s="224" t="s">
        <v>2164</v>
      </c>
      <c r="Q83" s="224" t="s">
        <v>1468</v>
      </c>
      <c r="R83" s="224" t="s">
        <v>1438</v>
      </c>
      <c r="S83" s="211" t="s">
        <v>2162</v>
      </c>
      <c r="T83" s="211" t="s">
        <v>2182</v>
      </c>
      <c r="V83" s="189"/>
    </row>
    <row r="84" spans="3:22" ht="12" customHeight="1">
      <c r="D84" s="220"/>
      <c r="E84" s="216" t="s">
        <v>334</v>
      </c>
      <c r="F84" s="217"/>
      <c r="G84" s="217"/>
      <c r="H84" s="218"/>
      <c r="I84" s="218"/>
      <c r="J84" s="218"/>
      <c r="K84" s="218"/>
      <c r="L84" s="219"/>
      <c r="N84" s="206"/>
      <c r="O84" s="206"/>
      <c r="P84" s="206"/>
      <c r="Q84" s="206"/>
      <c r="R84" s="206"/>
      <c r="S84" s="206"/>
      <c r="T84" s="221" t="s">
        <v>2183</v>
      </c>
    </row>
    <row r="85" spans="3:22" ht="12" customHeight="1">
      <c r="D85" s="212" t="s">
        <v>408</v>
      </c>
      <c r="E85" s="213" t="s">
        <v>2172</v>
      </c>
      <c r="F85" s="199" t="s">
        <v>2177</v>
      </c>
      <c r="G85" s="199" t="s">
        <v>257</v>
      </c>
      <c r="H85" s="210">
        <f t="shared" ref="H85:H93" si="3">SUM(I85:L85)</f>
        <v>0</v>
      </c>
      <c r="I85" s="214"/>
      <c r="J85" s="214"/>
      <c r="K85" s="214"/>
      <c r="L85" s="214"/>
      <c r="N85" s="206"/>
      <c r="O85" s="206"/>
      <c r="P85" s="206"/>
      <c r="Q85" s="206"/>
      <c r="R85" s="206"/>
      <c r="S85" s="206"/>
      <c r="T85" s="211" t="s">
        <v>2156</v>
      </c>
    </row>
    <row r="86" spans="3:22" ht="12" customHeight="1">
      <c r="D86" s="207" t="s">
        <v>409</v>
      </c>
      <c r="E86" s="208" t="s">
        <v>159</v>
      </c>
      <c r="F86" s="209" t="s">
        <v>2177</v>
      </c>
      <c r="G86" s="209" t="s">
        <v>258</v>
      </c>
      <c r="H86" s="210">
        <f t="shared" si="3"/>
        <v>4.1714992009132423</v>
      </c>
      <c r="I86" s="214">
        <f>I46/8760</f>
        <v>1.3564007990867579</v>
      </c>
      <c r="J86" s="214">
        <f>J46/8760</f>
        <v>1.3163210045662104</v>
      </c>
      <c r="K86" s="214">
        <f>K46/8760</f>
        <v>1.4987773972602743</v>
      </c>
      <c r="L86" s="214"/>
      <c r="N86" s="206"/>
      <c r="O86" s="206"/>
      <c r="P86" s="206"/>
      <c r="Q86" s="206"/>
      <c r="R86" s="206"/>
      <c r="S86" s="206"/>
      <c r="T86" s="211" t="s">
        <v>2156</v>
      </c>
    </row>
    <row r="87" spans="3:22" ht="12" customHeight="1">
      <c r="D87" s="207" t="s">
        <v>410</v>
      </c>
      <c r="E87" s="208" t="s">
        <v>160</v>
      </c>
      <c r="F87" s="209" t="s">
        <v>2177</v>
      </c>
      <c r="G87" s="209" t="s">
        <v>259</v>
      </c>
      <c r="H87" s="210">
        <f t="shared" si="3"/>
        <v>0</v>
      </c>
      <c r="I87" s="214"/>
      <c r="J87" s="214"/>
      <c r="K87" s="214"/>
      <c r="L87" s="214"/>
      <c r="N87" s="206"/>
      <c r="O87" s="206"/>
      <c r="P87" s="206"/>
      <c r="Q87" s="206"/>
      <c r="R87" s="206"/>
      <c r="S87" s="206"/>
      <c r="T87" s="211" t="s">
        <v>2156</v>
      </c>
    </row>
    <row r="88" spans="3:22" ht="12" customHeight="1">
      <c r="D88" s="207" t="s">
        <v>411</v>
      </c>
      <c r="E88" s="208" t="s">
        <v>162</v>
      </c>
      <c r="F88" s="209" t="s">
        <v>2177</v>
      </c>
      <c r="G88" s="209" t="s">
        <v>260</v>
      </c>
      <c r="H88" s="210">
        <f t="shared" si="3"/>
        <v>0</v>
      </c>
      <c r="I88" s="214"/>
      <c r="J88" s="214"/>
      <c r="K88" s="214"/>
      <c r="L88" s="214"/>
      <c r="N88" s="206"/>
      <c r="O88" s="206"/>
      <c r="P88" s="206"/>
      <c r="Q88" s="206"/>
      <c r="R88" s="206"/>
      <c r="S88" s="206"/>
      <c r="T88" s="211" t="s">
        <v>2156</v>
      </c>
    </row>
    <row r="89" spans="3:22" ht="12" customHeight="1">
      <c r="D89" s="207" t="s">
        <v>412</v>
      </c>
      <c r="E89" s="208" t="s">
        <v>2173</v>
      </c>
      <c r="F89" s="209" t="s">
        <v>2177</v>
      </c>
      <c r="G89" s="209" t="s">
        <v>261</v>
      </c>
      <c r="H89" s="210">
        <f t="shared" si="3"/>
        <v>0.2288208904109589</v>
      </c>
      <c r="I89" s="214">
        <f>I49/8760</f>
        <v>2.289246575342466E-2</v>
      </c>
      <c r="J89" s="214">
        <f>J49/8760</f>
        <v>6.5307876712328766E-2</v>
      </c>
      <c r="K89" s="214">
        <f>K49/8760</f>
        <v>0.10534577625570776</v>
      </c>
      <c r="L89" s="214">
        <f>L49/8760</f>
        <v>3.5274771689497719E-2</v>
      </c>
      <c r="N89" s="206"/>
      <c r="O89" s="206"/>
      <c r="P89" s="206"/>
      <c r="Q89" s="206"/>
      <c r="R89" s="206"/>
      <c r="S89" s="206"/>
      <c r="T89" s="211" t="s">
        <v>2156</v>
      </c>
    </row>
    <row r="90" spans="3:22" ht="12" customHeight="1">
      <c r="D90" s="212" t="s">
        <v>413</v>
      </c>
      <c r="E90" s="213" t="s">
        <v>233</v>
      </c>
      <c r="F90" s="199" t="s">
        <v>2177</v>
      </c>
      <c r="G90" s="199" t="s">
        <v>262</v>
      </c>
      <c r="H90" s="210">
        <f t="shared" si="3"/>
        <v>0</v>
      </c>
      <c r="I90" s="214"/>
      <c r="J90" s="214"/>
      <c r="K90" s="214"/>
      <c r="L90" s="214"/>
      <c r="N90" s="206"/>
      <c r="O90" s="206"/>
      <c r="P90" s="206"/>
      <c r="Q90" s="206"/>
      <c r="R90" s="206"/>
      <c r="S90" s="206"/>
      <c r="T90" s="211" t="s">
        <v>2156</v>
      </c>
    </row>
    <row r="91" spans="3:22" ht="12" customHeight="1">
      <c r="D91" s="207" t="s">
        <v>414</v>
      </c>
      <c r="E91" s="208" t="s">
        <v>2174</v>
      </c>
      <c r="F91" s="209" t="s">
        <v>2177</v>
      </c>
      <c r="G91" s="209" t="s">
        <v>263</v>
      </c>
      <c r="H91" s="210">
        <f t="shared" si="3"/>
        <v>0.21697442922374433</v>
      </c>
      <c r="I91" s="214"/>
      <c r="J91" s="214">
        <f>J51/8760</f>
        <v>5.5944178082191785E-2</v>
      </c>
      <c r="K91" s="214">
        <f>K51/8760</f>
        <v>8.083333333333334E-2</v>
      </c>
      <c r="L91" s="214">
        <f>L51/8760</f>
        <v>8.0196917808219179E-2</v>
      </c>
      <c r="N91" s="206"/>
      <c r="O91" s="206"/>
      <c r="P91" s="206"/>
      <c r="Q91" s="206"/>
      <c r="R91" s="206"/>
      <c r="S91" s="206"/>
      <c r="T91" s="211" t="s">
        <v>2156</v>
      </c>
    </row>
    <row r="92" spans="3:22" ht="24" customHeight="1">
      <c r="D92" s="207" t="s">
        <v>415</v>
      </c>
      <c r="E92" s="208" t="s">
        <v>2175</v>
      </c>
      <c r="F92" s="209" t="s">
        <v>2177</v>
      </c>
      <c r="G92" s="209" t="s">
        <v>264</v>
      </c>
      <c r="H92" s="210">
        <f t="shared" si="3"/>
        <v>1.1846461187214608E-2</v>
      </c>
      <c r="I92" s="210">
        <f>I89-I91</f>
        <v>2.289246575342466E-2</v>
      </c>
      <c r="J92" s="210">
        <f>J89-J91</f>
        <v>9.3636986301369809E-3</v>
      </c>
      <c r="K92" s="210">
        <f>K89-K91</f>
        <v>2.4512442922374422E-2</v>
      </c>
      <c r="L92" s="210">
        <f>L89-L91</f>
        <v>-4.4922146118721459E-2</v>
      </c>
      <c r="N92" s="206"/>
      <c r="O92" s="206"/>
      <c r="P92" s="206"/>
      <c r="Q92" s="206"/>
      <c r="R92" s="206"/>
      <c r="S92" s="206"/>
      <c r="T92" s="211" t="s">
        <v>2156</v>
      </c>
    </row>
    <row r="93" spans="3:22" ht="12" customHeight="1">
      <c r="D93" s="207" t="s">
        <v>416</v>
      </c>
      <c r="E93" s="208" t="s">
        <v>163</v>
      </c>
      <c r="F93" s="209" t="s">
        <v>2177</v>
      </c>
      <c r="G93" s="209" t="s">
        <v>265</v>
      </c>
      <c r="H93" s="210">
        <f t="shared" si="3"/>
        <v>0</v>
      </c>
      <c r="I93" s="210">
        <f>SUM(I55,I69,I74)-SUM(I75,I86:I89)</f>
        <v>0</v>
      </c>
      <c r="J93" s="210">
        <f>SUM(J55,J69,J74)-SUM(J75,J86:J89)</f>
        <v>0</v>
      </c>
      <c r="K93" s="210">
        <f>SUM(K55,K69,K74)-SUM(K75,K86:K89)</f>
        <v>0</v>
      </c>
      <c r="L93" s="210">
        <f>SUM(L55,L69,L74)-SUM(L75,L86:L89)</f>
        <v>0</v>
      </c>
      <c r="N93" s="206"/>
      <c r="O93" s="206"/>
      <c r="P93" s="206"/>
      <c r="Q93" s="206"/>
      <c r="R93" s="206"/>
      <c r="S93" s="206"/>
      <c r="T93" s="211" t="s">
        <v>2156</v>
      </c>
    </row>
    <row r="94" spans="3:22" ht="18" customHeight="1">
      <c r="D94" s="201" t="s">
        <v>2184</v>
      </c>
      <c r="E94" s="202"/>
      <c r="F94" s="202"/>
      <c r="G94" s="203"/>
      <c r="H94" s="204"/>
      <c r="I94" s="204"/>
      <c r="J94" s="204"/>
      <c r="K94" s="204"/>
      <c r="L94" s="205"/>
      <c r="N94" s="206"/>
      <c r="O94" s="206"/>
      <c r="P94" s="206"/>
      <c r="Q94" s="206"/>
      <c r="R94" s="206"/>
      <c r="S94" s="206"/>
      <c r="T94" s="206"/>
    </row>
    <row r="95" spans="3:22" ht="12" customHeight="1">
      <c r="D95" s="207" t="s">
        <v>418</v>
      </c>
      <c r="E95" s="208" t="s">
        <v>164</v>
      </c>
      <c r="F95" s="209" t="s">
        <v>2177</v>
      </c>
      <c r="G95" s="209" t="s">
        <v>266</v>
      </c>
      <c r="H95" s="210">
        <f>SUM(I95:L95)</f>
        <v>0</v>
      </c>
      <c r="I95" s="214"/>
      <c r="J95" s="214"/>
      <c r="K95" s="214"/>
      <c r="L95" s="214"/>
      <c r="N95" s="206"/>
      <c r="O95" s="206"/>
      <c r="P95" s="206"/>
      <c r="Q95" s="206"/>
      <c r="R95" s="206"/>
      <c r="S95" s="206"/>
      <c r="T95" s="211" t="s">
        <v>2156</v>
      </c>
    </row>
    <row r="96" spans="3:22" ht="12" customHeight="1">
      <c r="D96" s="207" t="s">
        <v>419</v>
      </c>
      <c r="E96" s="208" t="s">
        <v>165</v>
      </c>
      <c r="F96" s="209" t="s">
        <v>2177</v>
      </c>
      <c r="G96" s="209" t="s">
        <v>267</v>
      </c>
      <c r="H96" s="210">
        <f>SUM(I96:L96)</f>
        <v>0</v>
      </c>
      <c r="I96" s="214"/>
      <c r="J96" s="214"/>
      <c r="K96" s="214"/>
      <c r="L96" s="214"/>
      <c r="N96" s="206"/>
      <c r="O96" s="206"/>
      <c r="P96" s="206"/>
      <c r="Q96" s="206"/>
      <c r="R96" s="206"/>
      <c r="S96" s="206"/>
      <c r="T96" s="211" t="s">
        <v>2156</v>
      </c>
    </row>
    <row r="97" spans="3:20" s="189" customFormat="1" ht="12" customHeight="1">
      <c r="C97" s="188"/>
      <c r="D97" s="207" t="s">
        <v>420</v>
      </c>
      <c r="E97" s="208" t="s">
        <v>166</v>
      </c>
      <c r="F97" s="209" t="s">
        <v>2177</v>
      </c>
      <c r="G97" s="209" t="s">
        <v>268</v>
      </c>
      <c r="H97" s="210">
        <f>SUM(I97:L97)</f>
        <v>0</v>
      </c>
      <c r="I97" s="214"/>
      <c r="J97" s="214"/>
      <c r="K97" s="214"/>
      <c r="L97" s="214"/>
      <c r="M97" s="188"/>
      <c r="N97" s="206"/>
      <c r="O97" s="206"/>
      <c r="P97" s="206"/>
      <c r="Q97" s="206"/>
      <c r="R97" s="206"/>
      <c r="S97" s="206"/>
      <c r="T97" s="211" t="s">
        <v>2156</v>
      </c>
    </row>
    <row r="98" spans="3:20" s="189" customFormat="1" ht="18" customHeight="1">
      <c r="C98" s="188"/>
      <c r="D98" s="201" t="s">
        <v>2185</v>
      </c>
      <c r="E98" s="202"/>
      <c r="F98" s="202"/>
      <c r="G98" s="203"/>
      <c r="H98" s="204"/>
      <c r="I98" s="204"/>
      <c r="J98" s="204"/>
      <c r="K98" s="204"/>
      <c r="L98" s="205"/>
      <c r="M98" s="188"/>
      <c r="N98" s="206"/>
      <c r="O98" s="206"/>
      <c r="P98" s="206"/>
      <c r="Q98" s="206"/>
      <c r="R98" s="206"/>
      <c r="S98" s="206"/>
      <c r="T98" s="206"/>
    </row>
    <row r="99" spans="3:20" s="189" customFormat="1" ht="12" customHeight="1">
      <c r="C99" s="188"/>
      <c r="D99" s="207" t="s">
        <v>421</v>
      </c>
      <c r="E99" s="208" t="s">
        <v>2186</v>
      </c>
      <c r="F99" s="209" t="s">
        <v>2155</v>
      </c>
      <c r="G99" s="209" t="s">
        <v>269</v>
      </c>
      <c r="H99" s="210">
        <f t="shared" ref="H99:H130" si="4">SUM(I99:L99)</f>
        <v>0</v>
      </c>
      <c r="I99" s="210">
        <f>SUM(I100,I101)</f>
        <v>0</v>
      </c>
      <c r="J99" s="210">
        <f>SUM(J100,J101)</f>
        <v>0</v>
      </c>
      <c r="K99" s="210">
        <f>SUM(K100,K101)</f>
        <v>0</v>
      </c>
      <c r="L99" s="210">
        <f>SUM(L100,L101)</f>
        <v>0</v>
      </c>
      <c r="M99" s="188"/>
      <c r="N99" s="206"/>
      <c r="O99" s="206"/>
      <c r="P99" s="206"/>
      <c r="Q99" s="206"/>
      <c r="R99" s="206"/>
      <c r="S99" s="206"/>
      <c r="T99" s="211" t="s">
        <v>2156</v>
      </c>
    </row>
    <row r="100" spans="3:20" s="189" customFormat="1" ht="12" customHeight="1">
      <c r="C100" s="188"/>
      <c r="D100" s="212" t="s">
        <v>422</v>
      </c>
      <c r="E100" s="213" t="s">
        <v>167</v>
      </c>
      <c r="F100" s="199" t="s">
        <v>2155</v>
      </c>
      <c r="G100" s="199" t="s">
        <v>270</v>
      </c>
      <c r="H100" s="210">
        <f t="shared" si="4"/>
        <v>0</v>
      </c>
      <c r="I100" s="214"/>
      <c r="J100" s="214"/>
      <c r="K100" s="214"/>
      <c r="L100" s="214"/>
      <c r="M100" s="188"/>
      <c r="N100" s="206"/>
      <c r="O100" s="206"/>
      <c r="P100" s="206"/>
      <c r="Q100" s="206"/>
      <c r="R100" s="206"/>
      <c r="S100" s="206"/>
      <c r="T100" s="211" t="s">
        <v>2156</v>
      </c>
    </row>
    <row r="101" spans="3:20" s="189" customFormat="1" ht="12" customHeight="1">
      <c r="C101" s="188"/>
      <c r="D101" s="212" t="s">
        <v>423</v>
      </c>
      <c r="E101" s="213" t="s">
        <v>507</v>
      </c>
      <c r="F101" s="199" t="s">
        <v>2155</v>
      </c>
      <c r="G101" s="199" t="s">
        <v>271</v>
      </c>
      <c r="H101" s="210">
        <f t="shared" si="4"/>
        <v>0</v>
      </c>
      <c r="I101" s="210">
        <f>I104</f>
        <v>0</v>
      </c>
      <c r="J101" s="210">
        <f>J104</f>
        <v>0</v>
      </c>
      <c r="K101" s="210">
        <f>K104</f>
        <v>0</v>
      </c>
      <c r="L101" s="210">
        <f>L104</f>
        <v>0</v>
      </c>
      <c r="M101" s="188"/>
      <c r="N101" s="206"/>
      <c r="O101" s="206"/>
      <c r="P101" s="206"/>
      <c r="Q101" s="206"/>
      <c r="R101" s="206"/>
      <c r="S101" s="206"/>
      <c r="T101" s="211" t="s">
        <v>2156</v>
      </c>
    </row>
    <row r="102" spans="3:20" s="189" customFormat="1" ht="12" customHeight="1">
      <c r="C102" s="188"/>
      <c r="D102" s="212" t="s">
        <v>424</v>
      </c>
      <c r="E102" s="226" t="s">
        <v>519</v>
      </c>
      <c r="F102" s="199" t="s">
        <v>2177</v>
      </c>
      <c r="G102" s="199" t="s">
        <v>273</v>
      </c>
      <c r="H102" s="210">
        <f t="shared" si="4"/>
        <v>0</v>
      </c>
      <c r="I102" s="214"/>
      <c r="J102" s="214"/>
      <c r="K102" s="214"/>
      <c r="L102" s="214"/>
      <c r="M102" s="188"/>
      <c r="N102" s="206"/>
      <c r="O102" s="206"/>
      <c r="P102" s="206"/>
      <c r="Q102" s="206"/>
      <c r="R102" s="206"/>
      <c r="S102" s="206"/>
      <c r="T102" s="211" t="s">
        <v>2156</v>
      </c>
    </row>
    <row r="103" spans="3:20" s="189" customFormat="1" ht="12" customHeight="1">
      <c r="C103" s="188"/>
      <c r="D103" s="212" t="s">
        <v>425</v>
      </c>
      <c r="E103" s="227" t="s">
        <v>2187</v>
      </c>
      <c r="F103" s="199" t="s">
        <v>2177</v>
      </c>
      <c r="G103" s="199" t="s">
        <v>274</v>
      </c>
      <c r="H103" s="210">
        <f t="shared" si="4"/>
        <v>0</v>
      </c>
      <c r="I103" s="214"/>
      <c r="J103" s="214"/>
      <c r="K103" s="214"/>
      <c r="L103" s="214"/>
      <c r="M103" s="188"/>
      <c r="N103" s="206"/>
      <c r="O103" s="206"/>
      <c r="P103" s="206"/>
      <c r="Q103" s="206"/>
      <c r="R103" s="206"/>
      <c r="S103" s="206"/>
      <c r="T103" s="211" t="s">
        <v>2156</v>
      </c>
    </row>
    <row r="104" spans="3:20" s="189" customFormat="1" ht="12" customHeight="1">
      <c r="C104" s="188"/>
      <c r="D104" s="212" t="s">
        <v>426</v>
      </c>
      <c r="E104" s="226" t="s">
        <v>169</v>
      </c>
      <c r="F104" s="199" t="s">
        <v>2155</v>
      </c>
      <c r="G104" s="199" t="s">
        <v>275</v>
      </c>
      <c r="H104" s="210">
        <f t="shared" si="4"/>
        <v>0</v>
      </c>
      <c r="I104" s="214"/>
      <c r="J104" s="214"/>
      <c r="K104" s="214"/>
      <c r="L104" s="214"/>
      <c r="M104" s="188"/>
      <c r="N104" s="206"/>
      <c r="O104" s="206"/>
      <c r="P104" s="206"/>
      <c r="Q104" s="206"/>
      <c r="R104" s="206"/>
      <c r="S104" s="206"/>
      <c r="T104" s="211" t="s">
        <v>2156</v>
      </c>
    </row>
    <row r="105" spans="3:20" s="189" customFormat="1" ht="12" customHeight="1">
      <c r="C105" s="188"/>
      <c r="D105" s="207" t="s">
        <v>427</v>
      </c>
      <c r="E105" s="208" t="s">
        <v>2188</v>
      </c>
      <c r="F105" s="209" t="s">
        <v>2155</v>
      </c>
      <c r="G105" s="209" t="s">
        <v>277</v>
      </c>
      <c r="H105" s="210">
        <f t="shared" si="4"/>
        <v>0</v>
      </c>
      <c r="I105" s="210">
        <f>SUM(I106,I122)</f>
        <v>0</v>
      </c>
      <c r="J105" s="210">
        <f>SUM(J106,J122)</f>
        <v>0</v>
      </c>
      <c r="K105" s="210">
        <f>SUM(K106,K122)</f>
        <v>0</v>
      </c>
      <c r="L105" s="210">
        <f>SUM(L106,L122)</f>
        <v>0</v>
      </c>
      <c r="M105" s="188"/>
      <c r="N105" s="206"/>
      <c r="O105" s="206"/>
      <c r="P105" s="206"/>
      <c r="Q105" s="206"/>
      <c r="R105" s="206"/>
      <c r="S105" s="206"/>
      <c r="T105" s="211" t="s">
        <v>2156</v>
      </c>
    </row>
    <row r="106" spans="3:20" s="189" customFormat="1" ht="12" customHeight="1">
      <c r="C106" s="188"/>
      <c r="D106" s="212" t="s">
        <v>428</v>
      </c>
      <c r="E106" s="213" t="s">
        <v>279</v>
      </c>
      <c r="F106" s="199" t="s">
        <v>2155</v>
      </c>
      <c r="G106" s="199" t="s">
        <v>278</v>
      </c>
      <c r="H106" s="210">
        <f t="shared" si="4"/>
        <v>0</v>
      </c>
      <c r="I106" s="210">
        <f>SUM(I107:I108)</f>
        <v>0</v>
      </c>
      <c r="J106" s="210">
        <f>SUM(J107:J108)</f>
        <v>0</v>
      </c>
      <c r="K106" s="210">
        <f>SUM(K107:K108)</f>
        <v>0</v>
      </c>
      <c r="L106" s="210">
        <f>SUM(L107:L108)</f>
        <v>0</v>
      </c>
      <c r="M106" s="188"/>
      <c r="N106" s="206"/>
      <c r="O106" s="206"/>
      <c r="P106" s="206"/>
      <c r="Q106" s="206"/>
      <c r="R106" s="206"/>
      <c r="S106" s="206"/>
      <c r="T106" s="211" t="s">
        <v>2156</v>
      </c>
    </row>
    <row r="107" spans="3:20" s="189" customFormat="1" ht="12" customHeight="1">
      <c r="C107" s="188"/>
      <c r="D107" s="212" t="s">
        <v>429</v>
      </c>
      <c r="E107" s="226" t="s">
        <v>222</v>
      </c>
      <c r="F107" s="199" t="s">
        <v>2155</v>
      </c>
      <c r="G107" s="199" t="s">
        <v>280</v>
      </c>
      <c r="H107" s="210">
        <f t="shared" si="4"/>
        <v>0</v>
      </c>
      <c r="I107" s="214"/>
      <c r="J107" s="214"/>
      <c r="K107" s="214"/>
      <c r="L107" s="214"/>
      <c r="M107" s="188"/>
      <c r="N107" s="206"/>
      <c r="O107" s="206"/>
      <c r="P107" s="206"/>
      <c r="Q107" s="206"/>
      <c r="R107" s="206"/>
      <c r="S107" s="206"/>
      <c r="T107" s="211" t="s">
        <v>2156</v>
      </c>
    </row>
    <row r="108" spans="3:20" s="189" customFormat="1" ht="12" customHeight="1">
      <c r="C108" s="188"/>
      <c r="D108" s="212" t="s">
        <v>430</v>
      </c>
      <c r="E108" s="226" t="s">
        <v>511</v>
      </c>
      <c r="F108" s="199" t="s">
        <v>2155</v>
      </c>
      <c r="G108" s="199" t="s">
        <v>281</v>
      </c>
      <c r="H108" s="210">
        <f t="shared" si="4"/>
        <v>0</v>
      </c>
      <c r="I108" s="210">
        <f>SUM(I109,I112,I115,I118:I121)</f>
        <v>0</v>
      </c>
      <c r="J108" s="210">
        <f>SUM(J109,J112,J115,J118:J121)</f>
        <v>0</v>
      </c>
      <c r="K108" s="210">
        <f>SUM(K109,K112,K115,K118:K121)</f>
        <v>0</v>
      </c>
      <c r="L108" s="210">
        <f>SUM(L109,L112,L115,L118:L121)</f>
        <v>0</v>
      </c>
      <c r="M108" s="188"/>
      <c r="N108" s="206"/>
      <c r="O108" s="206"/>
      <c r="P108" s="206"/>
      <c r="Q108" s="206"/>
      <c r="R108" s="206"/>
      <c r="S108" s="206"/>
      <c r="T108" s="211" t="s">
        <v>2156</v>
      </c>
    </row>
    <row r="109" spans="3:20" s="189" customFormat="1" ht="36" customHeight="1">
      <c r="C109" s="188"/>
      <c r="D109" s="212" t="s">
        <v>431</v>
      </c>
      <c r="E109" s="227" t="s">
        <v>512</v>
      </c>
      <c r="F109" s="199" t="s">
        <v>2155</v>
      </c>
      <c r="G109" s="199" t="s">
        <v>282</v>
      </c>
      <c r="H109" s="210">
        <f t="shared" si="4"/>
        <v>0</v>
      </c>
      <c r="I109" s="210">
        <f>SUM(I110:I111)</f>
        <v>0</v>
      </c>
      <c r="J109" s="210">
        <f>SUM(J110:J111)</f>
        <v>0</v>
      </c>
      <c r="K109" s="210">
        <f>SUM(K110:K111)</f>
        <v>0</v>
      </c>
      <c r="L109" s="210">
        <f>SUM(L110:L111)</f>
        <v>0</v>
      </c>
      <c r="M109" s="188"/>
      <c r="N109" s="206"/>
      <c r="O109" s="206"/>
      <c r="P109" s="206"/>
      <c r="Q109" s="206"/>
      <c r="R109" s="206"/>
      <c r="S109" s="206"/>
      <c r="T109" s="211" t="s">
        <v>2156</v>
      </c>
    </row>
    <row r="110" spans="3:20" s="189" customFormat="1" ht="12" customHeight="1">
      <c r="C110" s="188"/>
      <c r="D110" s="212" t="s">
        <v>433</v>
      </c>
      <c r="E110" s="228" t="s">
        <v>283</v>
      </c>
      <c r="F110" s="199" t="s">
        <v>2155</v>
      </c>
      <c r="G110" s="199" t="s">
        <v>284</v>
      </c>
      <c r="H110" s="210">
        <f t="shared" si="4"/>
        <v>0</v>
      </c>
      <c r="I110" s="214"/>
      <c r="J110" s="214"/>
      <c r="K110" s="214"/>
      <c r="L110" s="214"/>
      <c r="M110" s="188"/>
      <c r="N110" s="206"/>
      <c r="O110" s="206"/>
      <c r="P110" s="206"/>
      <c r="Q110" s="206"/>
      <c r="R110" s="206"/>
      <c r="S110" s="206"/>
      <c r="T110" s="211" t="s">
        <v>2156</v>
      </c>
    </row>
    <row r="111" spans="3:20" s="189" customFormat="1" ht="12" customHeight="1">
      <c r="C111" s="188"/>
      <c r="D111" s="212" t="s">
        <v>434</v>
      </c>
      <c r="E111" s="228" t="s">
        <v>285</v>
      </c>
      <c r="F111" s="199" t="s">
        <v>2155</v>
      </c>
      <c r="G111" s="199" t="s">
        <v>286</v>
      </c>
      <c r="H111" s="210">
        <f t="shared" si="4"/>
        <v>0</v>
      </c>
      <c r="I111" s="214"/>
      <c r="J111" s="214"/>
      <c r="K111" s="214"/>
      <c r="L111" s="214"/>
      <c r="M111" s="188"/>
      <c r="N111" s="206"/>
      <c r="O111" s="206"/>
      <c r="P111" s="206"/>
      <c r="Q111" s="206"/>
      <c r="R111" s="206"/>
      <c r="S111" s="206"/>
      <c r="T111" s="211" t="s">
        <v>2156</v>
      </c>
    </row>
    <row r="112" spans="3:20" s="189" customFormat="1" ht="36" customHeight="1">
      <c r="C112" s="188"/>
      <c r="D112" s="212" t="s">
        <v>432</v>
      </c>
      <c r="E112" s="227" t="s">
        <v>513</v>
      </c>
      <c r="F112" s="199" t="s">
        <v>2155</v>
      </c>
      <c r="G112" s="199" t="s">
        <v>287</v>
      </c>
      <c r="H112" s="210">
        <f t="shared" si="4"/>
        <v>0</v>
      </c>
      <c r="I112" s="210">
        <f>SUM(I113:I114)</f>
        <v>0</v>
      </c>
      <c r="J112" s="210">
        <f>SUM(J113:J114)</f>
        <v>0</v>
      </c>
      <c r="K112" s="210">
        <f>SUM(K113:K114)</f>
        <v>0</v>
      </c>
      <c r="L112" s="210">
        <f>SUM(L113:L114)</f>
        <v>0</v>
      </c>
      <c r="M112" s="188"/>
      <c r="N112" s="206"/>
      <c r="O112" s="206"/>
      <c r="P112" s="206"/>
      <c r="Q112" s="206"/>
      <c r="R112" s="206"/>
      <c r="S112" s="206"/>
      <c r="T112" s="211" t="s">
        <v>2156</v>
      </c>
    </row>
    <row r="113" spans="3:20" s="189" customFormat="1" ht="12" customHeight="1">
      <c r="C113" s="188"/>
      <c r="D113" s="212" t="s">
        <v>435</v>
      </c>
      <c r="E113" s="228" t="s">
        <v>283</v>
      </c>
      <c r="F113" s="199" t="s">
        <v>2155</v>
      </c>
      <c r="G113" s="199" t="s">
        <v>288</v>
      </c>
      <c r="H113" s="210">
        <f t="shared" si="4"/>
        <v>0</v>
      </c>
      <c r="I113" s="214"/>
      <c r="J113" s="214"/>
      <c r="K113" s="214"/>
      <c r="L113" s="214"/>
      <c r="M113" s="188"/>
      <c r="N113" s="206"/>
      <c r="O113" s="206"/>
      <c r="P113" s="206"/>
      <c r="Q113" s="206"/>
      <c r="R113" s="206"/>
      <c r="S113" s="206"/>
      <c r="T113" s="211" t="s">
        <v>2156</v>
      </c>
    </row>
    <row r="114" spans="3:20" s="189" customFormat="1" ht="12" customHeight="1">
      <c r="C114" s="188"/>
      <c r="D114" s="212" t="s">
        <v>436</v>
      </c>
      <c r="E114" s="228" t="s">
        <v>285</v>
      </c>
      <c r="F114" s="199" t="s">
        <v>2155</v>
      </c>
      <c r="G114" s="199" t="s">
        <v>289</v>
      </c>
      <c r="H114" s="210">
        <f t="shared" si="4"/>
        <v>0</v>
      </c>
      <c r="I114" s="214"/>
      <c r="J114" s="214"/>
      <c r="K114" s="214"/>
      <c r="L114" s="214"/>
      <c r="M114" s="188"/>
      <c r="N114" s="206"/>
      <c r="O114" s="206"/>
      <c r="P114" s="206"/>
      <c r="Q114" s="206"/>
      <c r="R114" s="206"/>
      <c r="S114" s="206"/>
      <c r="T114" s="211" t="s">
        <v>2156</v>
      </c>
    </row>
    <row r="115" spans="3:20" s="189" customFormat="1" ht="24" customHeight="1">
      <c r="C115" s="188"/>
      <c r="D115" s="212" t="s">
        <v>437</v>
      </c>
      <c r="E115" s="227" t="s">
        <v>514</v>
      </c>
      <c r="F115" s="199" t="s">
        <v>2155</v>
      </c>
      <c r="G115" s="199" t="s">
        <v>290</v>
      </c>
      <c r="H115" s="210">
        <f t="shared" si="4"/>
        <v>0</v>
      </c>
      <c r="I115" s="210">
        <f>SUM(I116:I117)</f>
        <v>0</v>
      </c>
      <c r="J115" s="210">
        <f>SUM(J116:J117)</f>
        <v>0</v>
      </c>
      <c r="K115" s="210">
        <f>SUM(K116:K117)</f>
        <v>0</v>
      </c>
      <c r="L115" s="210">
        <f>SUM(L116:L117)</f>
        <v>0</v>
      </c>
      <c r="M115" s="188"/>
      <c r="N115" s="206"/>
      <c r="O115" s="206"/>
      <c r="P115" s="206"/>
      <c r="Q115" s="206"/>
      <c r="R115" s="206"/>
      <c r="S115" s="206"/>
      <c r="T115" s="211" t="s">
        <v>2156</v>
      </c>
    </row>
    <row r="116" spans="3:20" s="189" customFormat="1" ht="12" customHeight="1">
      <c r="C116" s="188"/>
      <c r="D116" s="212" t="s">
        <v>438</v>
      </c>
      <c r="E116" s="228" t="s">
        <v>283</v>
      </c>
      <c r="F116" s="199" t="s">
        <v>2155</v>
      </c>
      <c r="G116" s="199" t="s">
        <v>291</v>
      </c>
      <c r="H116" s="210">
        <f t="shared" si="4"/>
        <v>0</v>
      </c>
      <c r="I116" s="214"/>
      <c r="J116" s="214"/>
      <c r="K116" s="214"/>
      <c r="L116" s="214"/>
      <c r="M116" s="188"/>
      <c r="N116" s="206"/>
      <c r="O116" s="206"/>
      <c r="P116" s="206"/>
      <c r="Q116" s="206"/>
      <c r="R116" s="206"/>
      <c r="S116" s="206"/>
      <c r="T116" s="211" t="s">
        <v>2156</v>
      </c>
    </row>
    <row r="117" spans="3:20" s="189" customFormat="1" ht="12" customHeight="1">
      <c r="C117" s="188"/>
      <c r="D117" s="212" t="s">
        <v>439</v>
      </c>
      <c r="E117" s="228" t="s">
        <v>285</v>
      </c>
      <c r="F117" s="199" t="s">
        <v>2155</v>
      </c>
      <c r="G117" s="199" t="s">
        <v>292</v>
      </c>
      <c r="H117" s="210">
        <f t="shared" si="4"/>
        <v>0</v>
      </c>
      <c r="I117" s="214"/>
      <c r="J117" s="214"/>
      <c r="K117" s="214"/>
      <c r="L117" s="214"/>
      <c r="M117" s="188"/>
      <c r="N117" s="206"/>
      <c r="O117" s="206"/>
      <c r="P117" s="206"/>
      <c r="Q117" s="206"/>
      <c r="R117" s="206"/>
      <c r="S117" s="206"/>
      <c r="T117" s="211" t="s">
        <v>2156</v>
      </c>
    </row>
    <row r="118" spans="3:20" s="189" customFormat="1" ht="12" customHeight="1">
      <c r="C118" s="188"/>
      <c r="D118" s="212" t="s">
        <v>440</v>
      </c>
      <c r="E118" s="227" t="s">
        <v>293</v>
      </c>
      <c r="F118" s="199" t="s">
        <v>2155</v>
      </c>
      <c r="G118" s="199" t="s">
        <v>294</v>
      </c>
      <c r="H118" s="210">
        <f t="shared" si="4"/>
        <v>0</v>
      </c>
      <c r="I118" s="214"/>
      <c r="J118" s="214"/>
      <c r="K118" s="214"/>
      <c r="L118" s="214"/>
      <c r="M118" s="188"/>
      <c r="N118" s="206"/>
      <c r="O118" s="206"/>
      <c r="P118" s="206"/>
      <c r="Q118" s="206"/>
      <c r="R118" s="206"/>
      <c r="S118" s="206"/>
      <c r="T118" s="211" t="s">
        <v>2156</v>
      </c>
    </row>
    <row r="119" spans="3:20" s="189" customFormat="1" ht="12" customHeight="1">
      <c r="C119" s="188"/>
      <c r="D119" s="212" t="s">
        <v>441</v>
      </c>
      <c r="E119" s="227" t="s">
        <v>295</v>
      </c>
      <c r="F119" s="199" t="s">
        <v>2155</v>
      </c>
      <c r="G119" s="199" t="s">
        <v>296</v>
      </c>
      <c r="H119" s="210">
        <f t="shared" si="4"/>
        <v>0</v>
      </c>
      <c r="I119" s="214"/>
      <c r="J119" s="214"/>
      <c r="K119" s="214"/>
      <c r="L119" s="214"/>
      <c r="M119" s="188"/>
      <c r="N119" s="206"/>
      <c r="O119" s="206"/>
      <c r="P119" s="206"/>
      <c r="Q119" s="206"/>
      <c r="R119" s="206"/>
      <c r="S119" s="206"/>
      <c r="T119" s="211" t="s">
        <v>2156</v>
      </c>
    </row>
    <row r="120" spans="3:20" s="189" customFormat="1" ht="36" customHeight="1">
      <c r="C120" s="188"/>
      <c r="D120" s="212" t="s">
        <v>442</v>
      </c>
      <c r="E120" s="227" t="s">
        <v>479</v>
      </c>
      <c r="F120" s="199" t="s">
        <v>2155</v>
      </c>
      <c r="G120" s="199" t="s">
        <v>297</v>
      </c>
      <c r="H120" s="210">
        <f t="shared" si="4"/>
        <v>0</v>
      </c>
      <c r="I120" s="214"/>
      <c r="J120" s="214"/>
      <c r="K120" s="214"/>
      <c r="L120" s="214"/>
      <c r="M120" s="188"/>
      <c r="N120" s="206"/>
      <c r="O120" s="206"/>
      <c r="P120" s="206"/>
      <c r="Q120" s="206"/>
      <c r="R120" s="206"/>
      <c r="S120" s="206"/>
      <c r="T120" s="211" t="s">
        <v>2156</v>
      </c>
    </row>
    <row r="121" spans="3:20" s="189" customFormat="1" ht="24" customHeight="1">
      <c r="C121" s="188"/>
      <c r="D121" s="212" t="s">
        <v>443</v>
      </c>
      <c r="E121" s="227" t="s">
        <v>298</v>
      </c>
      <c r="F121" s="199" t="s">
        <v>2155</v>
      </c>
      <c r="G121" s="199" t="s">
        <v>299</v>
      </c>
      <c r="H121" s="210">
        <f t="shared" si="4"/>
        <v>0</v>
      </c>
      <c r="I121" s="214"/>
      <c r="J121" s="214"/>
      <c r="K121" s="214"/>
      <c r="L121" s="214"/>
      <c r="M121" s="188"/>
      <c r="N121" s="206"/>
      <c r="O121" s="206"/>
      <c r="P121" s="206"/>
      <c r="Q121" s="206"/>
      <c r="R121" s="206"/>
      <c r="S121" s="206"/>
      <c r="T121" s="211" t="s">
        <v>2156</v>
      </c>
    </row>
    <row r="122" spans="3:20" s="189" customFormat="1" ht="12" customHeight="1">
      <c r="C122" s="188"/>
      <c r="D122" s="212" t="s">
        <v>444</v>
      </c>
      <c r="E122" s="213" t="s">
        <v>515</v>
      </c>
      <c r="F122" s="199" t="s">
        <v>2155</v>
      </c>
      <c r="G122" s="199" t="s">
        <v>300</v>
      </c>
      <c r="H122" s="210">
        <f t="shared" si="4"/>
        <v>0</v>
      </c>
      <c r="I122" s="210">
        <f>I125</f>
        <v>0</v>
      </c>
      <c r="J122" s="210">
        <f>J125</f>
        <v>0</v>
      </c>
      <c r="K122" s="210">
        <f>K125</f>
        <v>0</v>
      </c>
      <c r="L122" s="210">
        <f>L125</f>
        <v>0</v>
      </c>
      <c r="M122" s="188"/>
      <c r="N122" s="206"/>
      <c r="O122" s="206"/>
      <c r="P122" s="206"/>
      <c r="Q122" s="206"/>
      <c r="R122" s="206"/>
      <c r="S122" s="206"/>
      <c r="T122" s="211" t="s">
        <v>2156</v>
      </c>
    </row>
    <row r="123" spans="3:20" s="189" customFormat="1" ht="12" customHeight="1">
      <c r="C123" s="188"/>
      <c r="D123" s="212" t="s">
        <v>445</v>
      </c>
      <c r="E123" s="226" t="s">
        <v>519</v>
      </c>
      <c r="F123" s="199" t="s">
        <v>2177</v>
      </c>
      <c r="G123" s="199" t="s">
        <v>301</v>
      </c>
      <c r="H123" s="210">
        <f t="shared" si="4"/>
        <v>0</v>
      </c>
      <c r="I123" s="214"/>
      <c r="J123" s="214"/>
      <c r="K123" s="214"/>
      <c r="L123" s="214"/>
      <c r="M123" s="188"/>
      <c r="N123" s="206"/>
      <c r="O123" s="206"/>
      <c r="P123" s="206"/>
      <c r="Q123" s="206"/>
      <c r="R123" s="206"/>
      <c r="S123" s="206"/>
      <c r="T123" s="211" t="s">
        <v>2156</v>
      </c>
    </row>
    <row r="124" spans="3:20" s="189" customFormat="1" ht="12" customHeight="1">
      <c r="C124" s="188"/>
      <c r="D124" s="212" t="s">
        <v>446</v>
      </c>
      <c r="E124" s="227" t="s">
        <v>2187</v>
      </c>
      <c r="F124" s="199" t="s">
        <v>2177</v>
      </c>
      <c r="G124" s="199" t="s">
        <v>302</v>
      </c>
      <c r="H124" s="210">
        <f t="shared" si="4"/>
        <v>0</v>
      </c>
      <c r="I124" s="214"/>
      <c r="J124" s="214"/>
      <c r="K124" s="214"/>
      <c r="L124" s="214"/>
      <c r="M124" s="188"/>
      <c r="N124" s="206"/>
      <c r="O124" s="206"/>
      <c r="P124" s="206"/>
      <c r="Q124" s="206"/>
      <c r="R124" s="206"/>
      <c r="S124" s="206"/>
      <c r="T124" s="211" t="s">
        <v>2156</v>
      </c>
    </row>
    <row r="125" spans="3:20" s="189" customFormat="1" ht="12" customHeight="1">
      <c r="C125" s="188"/>
      <c r="D125" s="212" t="s">
        <v>447</v>
      </c>
      <c r="E125" s="226" t="s">
        <v>169</v>
      </c>
      <c r="F125" s="199" t="s">
        <v>2155</v>
      </c>
      <c r="G125" s="199" t="s">
        <v>303</v>
      </c>
      <c r="H125" s="210">
        <f t="shared" si="4"/>
        <v>0</v>
      </c>
      <c r="I125" s="214"/>
      <c r="J125" s="214"/>
      <c r="K125" s="214"/>
      <c r="L125" s="214"/>
      <c r="M125" s="188"/>
      <c r="N125" s="206"/>
      <c r="O125" s="206"/>
      <c r="P125" s="206"/>
      <c r="Q125" s="206"/>
      <c r="R125" s="206"/>
      <c r="S125" s="206"/>
      <c r="T125" s="211" t="s">
        <v>2156</v>
      </c>
    </row>
    <row r="126" spans="3:20" s="189" customFormat="1" ht="12" customHeight="1">
      <c r="C126" s="188"/>
      <c r="D126" s="207" t="s">
        <v>448</v>
      </c>
      <c r="E126" s="208" t="s">
        <v>2189</v>
      </c>
      <c r="F126" s="209" t="s">
        <v>2155</v>
      </c>
      <c r="G126" s="209" t="s">
        <v>304</v>
      </c>
      <c r="H126" s="210">
        <f t="shared" si="4"/>
        <v>90442.320999999996</v>
      </c>
      <c r="I126" s="210">
        <f>SUM(I127,I128)</f>
        <v>200.53800000000001</v>
      </c>
      <c r="J126" s="210">
        <f>SUM(J127,J128)</f>
        <v>47954.178</v>
      </c>
      <c r="K126" s="210">
        <f>SUM(K127,K128)</f>
        <v>29467.322</v>
      </c>
      <c r="L126" s="210">
        <f>SUM(L127,L128)</f>
        <v>12820.282999999999</v>
      </c>
      <c r="M126" s="188"/>
      <c r="N126" s="206"/>
      <c r="O126" s="206"/>
      <c r="P126" s="206"/>
      <c r="Q126" s="206"/>
      <c r="R126" s="206"/>
      <c r="S126" s="206"/>
      <c r="T126" s="211" t="s">
        <v>2156</v>
      </c>
    </row>
    <row r="127" spans="3:20" s="189" customFormat="1" ht="12" customHeight="1">
      <c r="C127" s="188"/>
      <c r="D127" s="212" t="s">
        <v>449</v>
      </c>
      <c r="E127" s="213" t="s">
        <v>167</v>
      </c>
      <c r="F127" s="199" t="s">
        <v>2155</v>
      </c>
      <c r="G127" s="199" t="s">
        <v>305</v>
      </c>
      <c r="H127" s="210">
        <f t="shared" si="4"/>
        <v>0</v>
      </c>
      <c r="I127" s="214"/>
      <c r="J127" s="214"/>
      <c r="K127" s="214"/>
      <c r="L127" s="214"/>
      <c r="M127" s="188"/>
      <c r="N127" s="206"/>
      <c r="O127" s="206"/>
      <c r="P127" s="206"/>
      <c r="Q127" s="206"/>
      <c r="R127" s="206"/>
      <c r="S127" s="206"/>
      <c r="T127" s="211" t="s">
        <v>2156</v>
      </c>
    </row>
    <row r="128" spans="3:20" s="189" customFormat="1" ht="12" customHeight="1">
      <c r="C128" s="188"/>
      <c r="D128" s="212" t="s">
        <v>450</v>
      </c>
      <c r="E128" s="213" t="s">
        <v>507</v>
      </c>
      <c r="F128" s="199" t="s">
        <v>2155</v>
      </c>
      <c r="G128" s="199" t="s">
        <v>306</v>
      </c>
      <c r="H128" s="210">
        <f t="shared" si="4"/>
        <v>90442.320999999996</v>
      </c>
      <c r="I128" s="210">
        <f>I130</f>
        <v>200.53800000000001</v>
      </c>
      <c r="J128" s="210">
        <f>J130</f>
        <v>47954.178</v>
      </c>
      <c r="K128" s="210">
        <f>K130</f>
        <v>29467.322</v>
      </c>
      <c r="L128" s="210">
        <f>L130</f>
        <v>12820.282999999999</v>
      </c>
      <c r="M128" s="188"/>
      <c r="N128" s="206"/>
      <c r="O128" s="206"/>
      <c r="P128" s="206"/>
      <c r="Q128" s="206"/>
      <c r="R128" s="206"/>
      <c r="S128" s="206"/>
      <c r="T128" s="211" t="s">
        <v>2156</v>
      </c>
    </row>
    <row r="129" spans="3:20" s="189" customFormat="1" ht="12" customHeight="1">
      <c r="C129" s="188"/>
      <c r="D129" s="212" t="s">
        <v>451</v>
      </c>
      <c r="E129" s="226" t="s">
        <v>168</v>
      </c>
      <c r="F129" s="199" t="s">
        <v>2177</v>
      </c>
      <c r="G129" s="199" t="s">
        <v>307</v>
      </c>
      <c r="H129" s="210">
        <f t="shared" si="4"/>
        <v>56.423000000000002</v>
      </c>
      <c r="I129" s="214"/>
      <c r="J129" s="214">
        <v>56.423000000000002</v>
      </c>
      <c r="K129" s="214"/>
      <c r="L129" s="214"/>
      <c r="M129" s="188"/>
      <c r="N129" s="206"/>
      <c r="O129" s="206"/>
      <c r="P129" s="206"/>
      <c r="Q129" s="206"/>
      <c r="R129" s="206"/>
      <c r="S129" s="206"/>
      <c r="T129" s="211" t="s">
        <v>2156</v>
      </c>
    </row>
    <row r="130" spans="3:20" s="189" customFormat="1" ht="12" customHeight="1">
      <c r="C130" s="188"/>
      <c r="D130" s="212" t="s">
        <v>452</v>
      </c>
      <c r="E130" s="226" t="s">
        <v>169</v>
      </c>
      <c r="F130" s="199" t="s">
        <v>2155</v>
      </c>
      <c r="G130" s="199" t="s">
        <v>308</v>
      </c>
      <c r="H130" s="210">
        <f t="shared" si="4"/>
        <v>90442.320999999996</v>
      </c>
      <c r="I130" s="214">
        <f>I49</f>
        <v>200.53800000000001</v>
      </c>
      <c r="J130" s="214">
        <f>J35+1378.366</f>
        <v>47954.178</v>
      </c>
      <c r="K130" s="214">
        <f>K35+50.057+147.976+227.534</f>
        <v>29467.322</v>
      </c>
      <c r="L130" s="214">
        <f>L35</f>
        <v>12820.282999999999</v>
      </c>
      <c r="M130" s="188"/>
      <c r="N130" s="206"/>
      <c r="O130" s="206"/>
      <c r="P130" s="206"/>
      <c r="Q130" s="206"/>
      <c r="R130" s="206"/>
      <c r="S130" s="206"/>
      <c r="T130" s="211" t="s">
        <v>2156</v>
      </c>
    </row>
    <row r="131" spans="3:20" s="189" customFormat="1" ht="18" customHeight="1">
      <c r="C131" s="188"/>
      <c r="D131" s="201" t="s">
        <v>2190</v>
      </c>
      <c r="E131" s="202"/>
      <c r="F131" s="202"/>
      <c r="G131" s="203"/>
      <c r="H131" s="204"/>
      <c r="I131" s="204"/>
      <c r="J131" s="204"/>
      <c r="K131" s="204"/>
      <c r="L131" s="205"/>
      <c r="M131" s="188"/>
      <c r="N131" s="206"/>
      <c r="O131" s="206"/>
      <c r="P131" s="206"/>
      <c r="Q131" s="206"/>
      <c r="R131" s="206"/>
      <c r="S131" s="206"/>
      <c r="T131" s="206"/>
    </row>
    <row r="132" spans="3:20" s="189" customFormat="1" ht="24" customHeight="1">
      <c r="C132" s="188"/>
      <c r="D132" s="207" t="s">
        <v>453</v>
      </c>
      <c r="E132" s="208" t="s">
        <v>518</v>
      </c>
      <c r="F132" s="209" t="s">
        <v>2191</v>
      </c>
      <c r="G132" s="209" t="s">
        <v>309</v>
      </c>
      <c r="H132" s="210">
        <f t="shared" ref="H132:H152" si="5">SUM(I132:L132)</f>
        <v>0</v>
      </c>
      <c r="I132" s="210">
        <f>SUM(I133:I134)</f>
        <v>0</v>
      </c>
      <c r="J132" s="210">
        <f>SUM(J133:J134)</f>
        <v>0</v>
      </c>
      <c r="K132" s="210">
        <f>SUM(K133:K134)</f>
        <v>0</v>
      </c>
      <c r="L132" s="210">
        <f>SUM(L133:L134)</f>
        <v>0</v>
      </c>
      <c r="M132" s="188"/>
      <c r="N132" s="206"/>
      <c r="O132" s="206"/>
      <c r="P132" s="206"/>
      <c r="Q132" s="206"/>
      <c r="R132" s="206"/>
      <c r="S132" s="206"/>
      <c r="T132" s="211" t="s">
        <v>2156</v>
      </c>
    </row>
    <row r="133" spans="3:20" s="189" customFormat="1" ht="12" customHeight="1">
      <c r="C133" s="188"/>
      <c r="D133" s="212" t="s">
        <v>454</v>
      </c>
      <c r="E133" s="213" t="s">
        <v>167</v>
      </c>
      <c r="F133" s="199" t="s">
        <v>2191</v>
      </c>
      <c r="G133" s="199" t="s">
        <v>310</v>
      </c>
      <c r="H133" s="210">
        <f t="shared" si="5"/>
        <v>0</v>
      </c>
      <c r="I133" s="214"/>
      <c r="J133" s="214"/>
      <c r="K133" s="214"/>
      <c r="L133" s="214"/>
      <c r="M133" s="188"/>
      <c r="N133" s="206"/>
      <c r="O133" s="206"/>
      <c r="P133" s="206"/>
      <c r="Q133" s="206"/>
      <c r="R133" s="206"/>
      <c r="S133" s="206"/>
      <c r="T133" s="211" t="s">
        <v>2156</v>
      </c>
    </row>
    <row r="134" spans="3:20" s="189" customFormat="1" ht="12" customHeight="1">
      <c r="C134" s="188"/>
      <c r="D134" s="212" t="s">
        <v>455</v>
      </c>
      <c r="E134" s="213" t="s">
        <v>507</v>
      </c>
      <c r="F134" s="199" t="s">
        <v>2191</v>
      </c>
      <c r="G134" s="199" t="s">
        <v>311</v>
      </c>
      <c r="H134" s="210">
        <f t="shared" si="5"/>
        <v>0</v>
      </c>
      <c r="I134" s="210">
        <f>SUM(I135,I137)</f>
        <v>0</v>
      </c>
      <c r="J134" s="210">
        <f>SUM(J135,J137)</f>
        <v>0</v>
      </c>
      <c r="K134" s="210">
        <f>SUM(K135,K137)</f>
        <v>0</v>
      </c>
      <c r="L134" s="210">
        <f>SUM(L135,L137)</f>
        <v>0</v>
      </c>
      <c r="M134" s="188"/>
      <c r="N134" s="206"/>
      <c r="O134" s="206"/>
      <c r="P134" s="206"/>
      <c r="Q134" s="206"/>
      <c r="R134" s="206"/>
      <c r="S134" s="206"/>
      <c r="T134" s="211" t="s">
        <v>2156</v>
      </c>
    </row>
    <row r="135" spans="3:20" s="189" customFormat="1" ht="12" customHeight="1">
      <c r="C135" s="188"/>
      <c r="D135" s="212" t="s">
        <v>456</v>
      </c>
      <c r="E135" s="226" t="s">
        <v>519</v>
      </c>
      <c r="F135" s="199" t="s">
        <v>2191</v>
      </c>
      <c r="G135" s="199" t="s">
        <v>312</v>
      </c>
      <c r="H135" s="210">
        <f t="shared" si="5"/>
        <v>0</v>
      </c>
      <c r="I135" s="214"/>
      <c r="J135" s="214"/>
      <c r="K135" s="214"/>
      <c r="L135" s="214"/>
      <c r="M135" s="188"/>
      <c r="N135" s="206"/>
      <c r="O135" s="206"/>
      <c r="P135" s="206"/>
      <c r="Q135" s="206"/>
      <c r="R135" s="206"/>
      <c r="S135" s="206"/>
      <c r="T135" s="211" t="s">
        <v>2156</v>
      </c>
    </row>
    <row r="136" spans="3:20" s="189" customFormat="1" ht="12" customHeight="1">
      <c r="C136" s="188"/>
      <c r="D136" s="212" t="s">
        <v>457</v>
      </c>
      <c r="E136" s="227" t="s">
        <v>520</v>
      </c>
      <c r="F136" s="199" t="s">
        <v>2191</v>
      </c>
      <c r="G136" s="199" t="s">
        <v>313</v>
      </c>
      <c r="H136" s="210">
        <f t="shared" si="5"/>
        <v>0</v>
      </c>
      <c r="I136" s="214"/>
      <c r="J136" s="214"/>
      <c r="K136" s="214"/>
      <c r="L136" s="214"/>
      <c r="M136" s="188"/>
      <c r="N136" s="206"/>
      <c r="O136" s="206"/>
      <c r="P136" s="206"/>
      <c r="Q136" s="206"/>
      <c r="R136" s="206"/>
      <c r="S136" s="206"/>
      <c r="T136" s="211" t="s">
        <v>2156</v>
      </c>
    </row>
    <row r="137" spans="3:20" s="189" customFormat="1" ht="12" customHeight="1">
      <c r="C137" s="188"/>
      <c r="D137" s="212" t="s">
        <v>458</v>
      </c>
      <c r="E137" s="226" t="s">
        <v>169</v>
      </c>
      <c r="F137" s="199" t="s">
        <v>2191</v>
      </c>
      <c r="G137" s="199" t="s">
        <v>314</v>
      </c>
      <c r="H137" s="210">
        <f t="shared" si="5"/>
        <v>0</v>
      </c>
      <c r="I137" s="214"/>
      <c r="J137" s="214"/>
      <c r="K137" s="214"/>
      <c r="L137" s="214"/>
      <c r="M137" s="188"/>
      <c r="N137" s="206"/>
      <c r="O137" s="206"/>
      <c r="P137" s="206"/>
      <c r="Q137" s="206"/>
      <c r="R137" s="206"/>
      <c r="S137" s="206"/>
      <c r="T137" s="211" t="s">
        <v>2156</v>
      </c>
    </row>
    <row r="138" spans="3:20" s="189" customFormat="1" ht="12" customHeight="1">
      <c r="C138" s="188"/>
      <c r="D138" s="207" t="s">
        <v>336</v>
      </c>
      <c r="E138" s="208" t="s">
        <v>521</v>
      </c>
      <c r="F138" s="209" t="s">
        <v>2191</v>
      </c>
      <c r="G138" s="209" t="s">
        <v>315</v>
      </c>
      <c r="H138" s="210">
        <f t="shared" si="5"/>
        <v>0</v>
      </c>
      <c r="I138" s="210">
        <f>SUM(I139,I144)</f>
        <v>0</v>
      </c>
      <c r="J138" s="210">
        <f>SUM(J139,J144)</f>
        <v>0</v>
      </c>
      <c r="K138" s="210">
        <f>SUM(K139,K144)</f>
        <v>0</v>
      </c>
      <c r="L138" s="210">
        <f>SUM(L139,L144)</f>
        <v>0</v>
      </c>
      <c r="M138" s="188"/>
      <c r="N138" s="206"/>
      <c r="O138" s="206"/>
      <c r="P138" s="206"/>
      <c r="Q138" s="206"/>
      <c r="R138" s="206"/>
      <c r="S138" s="206"/>
      <c r="T138" s="211" t="s">
        <v>2156</v>
      </c>
    </row>
    <row r="139" spans="3:20" s="189" customFormat="1" ht="12" customHeight="1">
      <c r="C139" s="188"/>
      <c r="D139" s="212" t="s">
        <v>459</v>
      </c>
      <c r="E139" s="213" t="s">
        <v>167</v>
      </c>
      <c r="F139" s="199" t="s">
        <v>2191</v>
      </c>
      <c r="G139" s="199" t="s">
        <v>316</v>
      </c>
      <c r="H139" s="210">
        <f t="shared" si="5"/>
        <v>0</v>
      </c>
      <c r="I139" s="210">
        <f>SUM(I140:I141)</f>
        <v>0</v>
      </c>
      <c r="J139" s="210">
        <f>SUM(J140:J141)</f>
        <v>0</v>
      </c>
      <c r="K139" s="210">
        <f>SUM(K140:K141)</f>
        <v>0</v>
      </c>
      <c r="L139" s="210">
        <f>SUM(L140:L141)</f>
        <v>0</v>
      </c>
      <c r="M139" s="188"/>
      <c r="N139" s="206"/>
      <c r="O139" s="206"/>
      <c r="P139" s="206"/>
      <c r="Q139" s="206"/>
      <c r="R139" s="206"/>
      <c r="S139" s="206"/>
      <c r="T139" s="211" t="s">
        <v>2156</v>
      </c>
    </row>
    <row r="140" spans="3:20" s="189" customFormat="1" ht="12" customHeight="1">
      <c r="C140" s="188"/>
      <c r="D140" s="212" t="s">
        <v>460</v>
      </c>
      <c r="E140" s="226" t="s">
        <v>222</v>
      </c>
      <c r="F140" s="199" t="s">
        <v>2191</v>
      </c>
      <c r="G140" s="199" t="s">
        <v>317</v>
      </c>
      <c r="H140" s="210">
        <f t="shared" si="5"/>
        <v>0</v>
      </c>
      <c r="I140" s="214"/>
      <c r="J140" s="214"/>
      <c r="K140" s="214"/>
      <c r="L140" s="214"/>
      <c r="M140" s="188"/>
      <c r="N140" s="206"/>
      <c r="O140" s="206"/>
      <c r="P140" s="206"/>
      <c r="Q140" s="206"/>
      <c r="R140" s="206"/>
      <c r="S140" s="206"/>
      <c r="T140" s="211" t="s">
        <v>2156</v>
      </c>
    </row>
    <row r="141" spans="3:20" s="189" customFormat="1" ht="12" customHeight="1">
      <c r="C141" s="188"/>
      <c r="D141" s="212" t="s">
        <v>461</v>
      </c>
      <c r="E141" s="226" t="s">
        <v>511</v>
      </c>
      <c r="F141" s="199" t="s">
        <v>2191</v>
      </c>
      <c r="G141" s="199" t="s">
        <v>318</v>
      </c>
      <c r="H141" s="210">
        <f t="shared" si="5"/>
        <v>0</v>
      </c>
      <c r="I141" s="210">
        <f>SUM(I142:I143)</f>
        <v>0</v>
      </c>
      <c r="J141" s="210">
        <f>SUM(J142:J143)</f>
        <v>0</v>
      </c>
      <c r="K141" s="210">
        <f>SUM(K142:K143)</f>
        <v>0</v>
      </c>
      <c r="L141" s="210">
        <f>SUM(L142:L143)</f>
        <v>0</v>
      </c>
      <c r="M141" s="188"/>
      <c r="N141" s="206"/>
      <c r="O141" s="206"/>
      <c r="P141" s="206"/>
      <c r="Q141" s="206"/>
      <c r="R141" s="206"/>
      <c r="S141" s="206"/>
      <c r="T141" s="211" t="s">
        <v>2156</v>
      </c>
    </row>
    <row r="142" spans="3:20" s="189" customFormat="1" ht="12" customHeight="1">
      <c r="C142" s="188"/>
      <c r="D142" s="212" t="s">
        <v>462</v>
      </c>
      <c r="E142" s="227" t="s">
        <v>283</v>
      </c>
      <c r="F142" s="199" t="s">
        <v>2191</v>
      </c>
      <c r="G142" s="199" t="s">
        <v>319</v>
      </c>
      <c r="H142" s="210">
        <f t="shared" si="5"/>
        <v>0</v>
      </c>
      <c r="I142" s="214"/>
      <c r="J142" s="214"/>
      <c r="K142" s="214"/>
      <c r="L142" s="214"/>
      <c r="M142" s="188"/>
      <c r="N142" s="206"/>
      <c r="O142" s="206"/>
      <c r="P142" s="206"/>
      <c r="Q142" s="206"/>
      <c r="R142" s="206"/>
      <c r="S142" s="206"/>
      <c r="T142" s="211" t="s">
        <v>2156</v>
      </c>
    </row>
    <row r="143" spans="3:20" s="189" customFormat="1" ht="12" customHeight="1">
      <c r="C143" s="188"/>
      <c r="D143" s="212" t="s">
        <v>463</v>
      </c>
      <c r="E143" s="227" t="s">
        <v>320</v>
      </c>
      <c r="F143" s="199" t="s">
        <v>2191</v>
      </c>
      <c r="G143" s="199" t="s">
        <v>321</v>
      </c>
      <c r="H143" s="210">
        <f t="shared" si="5"/>
        <v>0</v>
      </c>
      <c r="I143" s="214"/>
      <c r="J143" s="214"/>
      <c r="K143" s="214"/>
      <c r="L143" s="214"/>
      <c r="M143" s="188"/>
      <c r="N143" s="206"/>
      <c r="O143" s="206"/>
      <c r="P143" s="206"/>
      <c r="Q143" s="206"/>
      <c r="R143" s="206"/>
      <c r="S143" s="206"/>
      <c r="T143" s="211" t="s">
        <v>2156</v>
      </c>
    </row>
    <row r="144" spans="3:20" s="189" customFormat="1" ht="12" customHeight="1">
      <c r="C144" s="188"/>
      <c r="D144" s="212" t="s">
        <v>464</v>
      </c>
      <c r="E144" s="213" t="s">
        <v>515</v>
      </c>
      <c r="F144" s="199" t="s">
        <v>2191</v>
      </c>
      <c r="G144" s="199" t="s">
        <v>322</v>
      </c>
      <c r="H144" s="210">
        <f t="shared" si="5"/>
        <v>0</v>
      </c>
      <c r="I144" s="210">
        <f>SUM(I145,I147)</f>
        <v>0</v>
      </c>
      <c r="J144" s="210">
        <f>SUM(J145,J147)</f>
        <v>0</v>
      </c>
      <c r="K144" s="210">
        <f>SUM(K145,K147)</f>
        <v>0</v>
      </c>
      <c r="L144" s="210">
        <f>SUM(L145,L147)</f>
        <v>0</v>
      </c>
      <c r="M144" s="188"/>
      <c r="N144" s="206"/>
      <c r="O144" s="206"/>
      <c r="P144" s="206"/>
      <c r="Q144" s="206"/>
      <c r="R144" s="206"/>
      <c r="S144" s="206"/>
      <c r="T144" s="211" t="s">
        <v>2156</v>
      </c>
    </row>
    <row r="145" spans="3:20" s="189" customFormat="1" ht="12" customHeight="1">
      <c r="C145" s="188"/>
      <c r="D145" s="212" t="s">
        <v>465</v>
      </c>
      <c r="E145" s="226" t="s">
        <v>519</v>
      </c>
      <c r="F145" s="199" t="s">
        <v>2191</v>
      </c>
      <c r="G145" s="199" t="s">
        <v>323</v>
      </c>
      <c r="H145" s="210">
        <f t="shared" si="5"/>
        <v>0</v>
      </c>
      <c r="I145" s="214"/>
      <c r="J145" s="214"/>
      <c r="K145" s="214"/>
      <c r="L145" s="214"/>
      <c r="M145" s="188"/>
      <c r="N145" s="206"/>
      <c r="O145" s="206"/>
      <c r="P145" s="206"/>
      <c r="Q145" s="206"/>
      <c r="R145" s="206"/>
      <c r="S145" s="206"/>
      <c r="T145" s="211" t="s">
        <v>2156</v>
      </c>
    </row>
    <row r="146" spans="3:20" s="189" customFormat="1" ht="12" customHeight="1">
      <c r="C146" s="188"/>
      <c r="D146" s="212" t="s">
        <v>466</v>
      </c>
      <c r="E146" s="227" t="s">
        <v>520</v>
      </c>
      <c r="F146" s="199" t="s">
        <v>2191</v>
      </c>
      <c r="G146" s="199" t="s">
        <v>324</v>
      </c>
      <c r="H146" s="210">
        <f t="shared" si="5"/>
        <v>0</v>
      </c>
      <c r="I146" s="214"/>
      <c r="J146" s="214"/>
      <c r="K146" s="214"/>
      <c r="L146" s="214"/>
      <c r="M146" s="188"/>
      <c r="N146" s="206"/>
      <c r="O146" s="206"/>
      <c r="P146" s="206"/>
      <c r="Q146" s="206"/>
      <c r="R146" s="206"/>
      <c r="S146" s="206"/>
      <c r="T146" s="211" t="s">
        <v>2156</v>
      </c>
    </row>
    <row r="147" spans="3:20" s="189" customFormat="1" ht="12" customHeight="1">
      <c r="C147" s="188"/>
      <c r="D147" s="212" t="s">
        <v>467</v>
      </c>
      <c r="E147" s="226" t="s">
        <v>169</v>
      </c>
      <c r="F147" s="199" t="s">
        <v>2191</v>
      </c>
      <c r="G147" s="199" t="s">
        <v>325</v>
      </c>
      <c r="H147" s="210">
        <f t="shared" si="5"/>
        <v>0</v>
      </c>
      <c r="I147" s="214"/>
      <c r="J147" s="214"/>
      <c r="K147" s="214"/>
      <c r="L147" s="214"/>
      <c r="M147" s="188"/>
      <c r="N147" s="206"/>
      <c r="O147" s="206"/>
      <c r="P147" s="206"/>
      <c r="Q147" s="206"/>
      <c r="R147" s="206"/>
      <c r="S147" s="206"/>
      <c r="T147" s="211" t="s">
        <v>2156</v>
      </c>
    </row>
    <row r="148" spans="3:20" s="189" customFormat="1" ht="12" customHeight="1">
      <c r="C148" s="188"/>
      <c r="D148" s="207" t="s">
        <v>468</v>
      </c>
      <c r="E148" s="208" t="s">
        <v>522</v>
      </c>
      <c r="F148" s="209" t="s">
        <v>2191</v>
      </c>
      <c r="G148" s="209" t="s">
        <v>326</v>
      </c>
      <c r="H148" s="210">
        <f t="shared" si="5"/>
        <v>50947.361328911997</v>
      </c>
      <c r="I148" s="210">
        <f>SUM(I149:I150)</f>
        <v>19.684810079999998</v>
      </c>
      <c r="J148" s="210">
        <f>SUM(J149:J150)</f>
        <v>46776.725212031997</v>
      </c>
      <c r="K148" s="210">
        <f>SUM(K149:K150)</f>
        <v>2892.5123275200003</v>
      </c>
      <c r="L148" s="210">
        <f>SUM(L149:L150)</f>
        <v>1258.4389792799998</v>
      </c>
      <c r="M148" s="188"/>
      <c r="N148" s="206"/>
      <c r="O148" s="206"/>
      <c r="P148" s="206"/>
      <c r="Q148" s="206"/>
      <c r="R148" s="206"/>
      <c r="S148" s="206"/>
      <c r="T148" s="211" t="s">
        <v>2156</v>
      </c>
    </row>
    <row r="149" spans="3:20" s="189" customFormat="1" ht="12" customHeight="1">
      <c r="C149" s="188"/>
      <c r="D149" s="212" t="s">
        <v>469</v>
      </c>
      <c r="E149" s="213" t="s">
        <v>167</v>
      </c>
      <c r="F149" s="199" t="s">
        <v>2191</v>
      </c>
      <c r="G149" s="199" t="s">
        <v>327</v>
      </c>
      <c r="H149" s="210">
        <f t="shared" si="5"/>
        <v>0</v>
      </c>
      <c r="I149" s="214"/>
      <c r="J149" s="214"/>
      <c r="K149" s="214"/>
      <c r="L149" s="214"/>
      <c r="M149" s="188"/>
      <c r="N149" s="206"/>
      <c r="O149" s="206"/>
      <c r="P149" s="206"/>
      <c r="Q149" s="206"/>
      <c r="R149" s="206"/>
      <c r="S149" s="206"/>
      <c r="T149" s="211" t="s">
        <v>2156</v>
      </c>
    </row>
    <row r="150" spans="3:20" s="189" customFormat="1" ht="12" customHeight="1">
      <c r="C150" s="188"/>
      <c r="D150" s="212" t="s">
        <v>470</v>
      </c>
      <c r="E150" s="213" t="s">
        <v>507</v>
      </c>
      <c r="F150" s="199" t="s">
        <v>2191</v>
      </c>
      <c r="G150" s="199" t="s">
        <v>328</v>
      </c>
      <c r="H150" s="210">
        <f t="shared" si="5"/>
        <v>50947.361328911997</v>
      </c>
      <c r="I150" s="210">
        <f>SUM(I151:I152)</f>
        <v>19.684810079999998</v>
      </c>
      <c r="J150" s="210">
        <f>SUM(J151:J152)</f>
        <v>46776.725212031997</v>
      </c>
      <c r="K150" s="210">
        <f>SUM(K151:K152)</f>
        <v>2892.5123275200003</v>
      </c>
      <c r="L150" s="210">
        <f>SUM(L151:L152)</f>
        <v>1258.4389792799998</v>
      </c>
      <c r="M150" s="188"/>
      <c r="N150" s="206"/>
      <c r="O150" s="206"/>
      <c r="P150" s="206"/>
      <c r="Q150" s="206"/>
      <c r="R150" s="206"/>
      <c r="S150" s="206"/>
      <c r="T150" s="211" t="s">
        <v>2156</v>
      </c>
    </row>
    <row r="151" spans="3:20" s="189" customFormat="1" ht="12" customHeight="1">
      <c r="C151" s="188"/>
      <c r="D151" s="212" t="s">
        <v>471</v>
      </c>
      <c r="E151" s="226" t="s">
        <v>168</v>
      </c>
      <c r="F151" s="199" t="s">
        <v>2191</v>
      </c>
      <c r="G151" s="199" t="s">
        <v>331</v>
      </c>
      <c r="H151" s="210">
        <f t="shared" si="5"/>
        <v>42069.543099552</v>
      </c>
      <c r="I151" s="214"/>
      <c r="J151" s="214">
        <f>J129*51778.46/1000*12*1.2</f>
        <v>42069.543099552</v>
      </c>
      <c r="K151" s="214"/>
      <c r="L151" s="214"/>
      <c r="M151" s="188"/>
      <c r="N151" s="206"/>
      <c r="O151" s="206"/>
      <c r="P151" s="206"/>
      <c r="Q151" s="206"/>
      <c r="R151" s="206"/>
      <c r="S151" s="206"/>
      <c r="T151" s="211" t="s">
        <v>2156</v>
      </c>
    </row>
    <row r="152" spans="3:20" s="189" customFormat="1" ht="12" customHeight="1">
      <c r="C152" s="188"/>
      <c r="D152" s="212" t="s">
        <v>472</v>
      </c>
      <c r="E152" s="226" t="s">
        <v>169</v>
      </c>
      <c r="F152" s="199" t="s">
        <v>2191</v>
      </c>
      <c r="G152" s="199" t="s">
        <v>332</v>
      </c>
      <c r="H152" s="210">
        <f t="shared" si="5"/>
        <v>8877.8182293600003</v>
      </c>
      <c r="I152" s="214">
        <f>I130*81.8*1.2/1000</f>
        <v>19.684810079999998</v>
      </c>
      <c r="J152" s="214">
        <f>J130*81.8*1.2/1000</f>
        <v>4707.1821124799999</v>
      </c>
      <c r="K152" s="214">
        <f>K130*81.8*1.2/1000</f>
        <v>2892.5123275200003</v>
      </c>
      <c r="L152" s="214">
        <f>L130*81.8*1.2/1000</f>
        <v>1258.4389792799998</v>
      </c>
      <c r="M152" s="188"/>
      <c r="N152" s="206"/>
      <c r="O152" s="206"/>
      <c r="P152" s="206"/>
      <c r="Q152" s="206"/>
      <c r="R152" s="206"/>
      <c r="S152" s="206"/>
      <c r="T152" s="211" t="s">
        <v>2156</v>
      </c>
    </row>
  </sheetData>
  <mergeCells count="11">
    <mergeCell ref="D14:F14"/>
    <mergeCell ref="D54:F54"/>
    <mergeCell ref="D94:F94"/>
    <mergeCell ref="D98:F98"/>
    <mergeCell ref="D131:F131"/>
    <mergeCell ref="D11:D12"/>
    <mergeCell ref="E11:E12"/>
    <mergeCell ref="F11:F12"/>
    <mergeCell ref="G11:G12"/>
    <mergeCell ref="H11:H12"/>
    <mergeCell ref="I11:L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TEHSHEET">
    <tabColor indexed="47"/>
  </sheetPr>
  <dimension ref="A1:G86"/>
  <sheetViews>
    <sheetView showGridLines="0" workbookViewId="0">
      <selection activeCell="M44" sqref="M44"/>
    </sheetView>
  </sheetViews>
  <sheetFormatPr defaultRowHeight="11.25"/>
  <cols>
    <col min="1" max="1" width="2.140625" bestFit="1" customWidth="1"/>
    <col min="2" max="2" width="35.85546875" customWidth="1"/>
    <col min="4" max="4" width="9.140625" style="7"/>
    <col min="5" max="5" width="7" customWidth="1"/>
    <col min="7" max="7" width="9.28515625" bestFit="1" customWidth="1"/>
    <col min="11" max="11" width="9.42578125" bestFit="1" customWidth="1"/>
    <col min="14" max="16" width="9.42578125" bestFit="1" customWidth="1"/>
    <col min="19" max="19" width="9.28515625" bestFit="1" customWidth="1"/>
    <col min="22" max="22" width="9.28515625" bestFit="1" customWidth="1"/>
    <col min="34" max="34" width="9.28515625" bestFit="1" customWidth="1"/>
    <col min="37" max="37" width="9.28515625" bestFit="1" customWidth="1"/>
    <col min="49" max="49" width="9.42578125" bestFit="1" customWidth="1"/>
    <col min="52" max="52" width="9.42578125" bestFit="1" customWidth="1"/>
  </cols>
  <sheetData>
    <row r="1" spans="1:7" ht="15">
      <c r="B1" s="11" t="s">
        <v>19</v>
      </c>
      <c r="C1" s="11"/>
      <c r="D1" s="6" t="s">
        <v>111</v>
      </c>
      <c r="E1" s="6" t="s">
        <v>127</v>
      </c>
      <c r="F1" s="58" t="s">
        <v>182</v>
      </c>
      <c r="G1" s="6" t="s">
        <v>193</v>
      </c>
    </row>
    <row r="2" spans="1:7">
      <c r="A2">
        <v>0</v>
      </c>
      <c r="B2" t="s">
        <v>20</v>
      </c>
      <c r="D2" s="8" t="s">
        <v>112</v>
      </c>
      <c r="E2">
        <v>2018</v>
      </c>
      <c r="F2" t="s">
        <v>183</v>
      </c>
      <c r="G2" s="7" t="s">
        <v>192</v>
      </c>
    </row>
    <row r="3" spans="1:7">
      <c r="B3" t="s">
        <v>21</v>
      </c>
      <c r="D3" s="8" t="s">
        <v>113</v>
      </c>
      <c r="E3">
        <v>2019</v>
      </c>
      <c r="F3" t="s">
        <v>184</v>
      </c>
      <c r="G3" s="7" t="s">
        <v>194</v>
      </c>
    </row>
    <row r="4" spans="1:7">
      <c r="B4" t="s">
        <v>22</v>
      </c>
      <c r="D4" s="8" t="s">
        <v>114</v>
      </c>
      <c r="E4">
        <v>2020</v>
      </c>
    </row>
    <row r="5" spans="1:7">
      <c r="B5" t="s">
        <v>24</v>
      </c>
      <c r="D5" s="8" t="s">
        <v>115</v>
      </c>
      <c r="E5" s="63">
        <v>2021</v>
      </c>
    </row>
    <row r="6" spans="1:7">
      <c r="B6" t="s">
        <v>25</v>
      </c>
      <c r="D6" s="8" t="s">
        <v>116</v>
      </c>
      <c r="E6" s="63">
        <v>2022</v>
      </c>
    </row>
    <row r="7" spans="1:7">
      <c r="B7" t="s">
        <v>26</v>
      </c>
      <c r="D7" s="8" t="s">
        <v>117</v>
      </c>
    </row>
    <row r="8" spans="1:7">
      <c r="B8" t="s">
        <v>27</v>
      </c>
      <c r="D8" s="8" t="s">
        <v>118</v>
      </c>
    </row>
    <row r="9" spans="1:7">
      <c r="B9" t="s">
        <v>28</v>
      </c>
      <c r="D9" s="8" t="s">
        <v>119</v>
      </c>
    </row>
    <row r="10" spans="1:7">
      <c r="B10" t="s">
        <v>29</v>
      </c>
      <c r="D10" s="8" t="s">
        <v>120</v>
      </c>
    </row>
    <row r="11" spans="1:7">
      <c r="B11" t="s">
        <v>23</v>
      </c>
      <c r="D11" s="8" t="s">
        <v>121</v>
      </c>
    </row>
    <row r="12" spans="1:7">
      <c r="B12" t="s">
        <v>98</v>
      </c>
      <c r="D12" s="8" t="s">
        <v>122</v>
      </c>
    </row>
    <row r="13" spans="1:7">
      <c r="B13" t="s">
        <v>100</v>
      </c>
      <c r="D13" s="8" t="s">
        <v>123</v>
      </c>
    </row>
    <row r="14" spans="1:7">
      <c r="B14" t="s">
        <v>181</v>
      </c>
      <c r="D14" s="23" t="s">
        <v>138</v>
      </c>
    </row>
    <row r="15" spans="1:7">
      <c r="B15" t="s">
        <v>30</v>
      </c>
    </row>
    <row r="16" spans="1:7">
      <c r="B16" t="s">
        <v>101</v>
      </c>
    </row>
    <row r="17" spans="2:4">
      <c r="B17" t="s">
        <v>31</v>
      </c>
    </row>
    <row r="18" spans="2:4">
      <c r="B18" t="s">
        <v>32</v>
      </c>
    </row>
    <row r="19" spans="2:4">
      <c r="B19" t="s">
        <v>33</v>
      </c>
    </row>
    <row r="20" spans="2:4">
      <c r="B20" t="s">
        <v>34</v>
      </c>
    </row>
    <row r="21" spans="2:4">
      <c r="B21" t="s">
        <v>35</v>
      </c>
    </row>
    <row r="22" spans="2:4">
      <c r="B22" t="s">
        <v>102</v>
      </c>
      <c r="D22" s="65" t="s">
        <v>196</v>
      </c>
    </row>
    <row r="23" spans="2:4">
      <c r="B23" t="s">
        <v>36</v>
      </c>
      <c r="D23" s="64" t="s">
        <v>197</v>
      </c>
    </row>
    <row r="24" spans="2:4">
      <c r="B24" t="s">
        <v>37</v>
      </c>
      <c r="D24" s="65" t="s">
        <v>198</v>
      </c>
    </row>
    <row r="25" spans="2:4">
      <c r="B25" t="s">
        <v>38</v>
      </c>
      <c r="D25" s="7" t="str">
        <f>"Необходимо ввести ссылку на обосновывающие материалы в формате: """ &amp; URL_FORMAT &amp; """ (смотри раздел ""Методология заполнения"" листа ""Инструкция"")"</f>
        <v>Необходимо ввести ссылку на обосновывающие материалы в формате: "https://portal.eias.ru/Portal/DownloadPage.aspx?type=12&amp;guid=????????-????-????-????-????????????" (смотри раздел "Методология заполнения" листа "Инструкция")</v>
      </c>
    </row>
    <row r="26" spans="2:4">
      <c r="B26" t="s">
        <v>39</v>
      </c>
    </row>
    <row r="27" spans="2:4">
      <c r="B27" t="s">
        <v>40</v>
      </c>
    </row>
    <row r="28" spans="2:4">
      <c r="B28" t="s">
        <v>41</v>
      </c>
    </row>
    <row r="29" spans="2:4">
      <c r="B29" t="s">
        <v>42</v>
      </c>
    </row>
    <row r="30" spans="2:4">
      <c r="B30" t="s">
        <v>43</v>
      </c>
    </row>
    <row r="31" spans="2:4">
      <c r="B31" t="s">
        <v>44</v>
      </c>
    </row>
    <row r="32" spans="2:4">
      <c r="B32" t="s">
        <v>45</v>
      </c>
    </row>
    <row r="33" spans="2:2">
      <c r="B33" t="s">
        <v>46</v>
      </c>
    </row>
    <row r="34" spans="2:2">
      <c r="B34" t="s">
        <v>99</v>
      </c>
    </row>
    <row r="35" spans="2:2">
      <c r="B35" t="s">
        <v>47</v>
      </c>
    </row>
    <row r="36" spans="2:2">
      <c r="B36" t="s">
        <v>48</v>
      </c>
    </row>
    <row r="37" spans="2:2">
      <c r="B37" t="s">
        <v>49</v>
      </c>
    </row>
    <row r="38" spans="2:2">
      <c r="B38" t="s">
        <v>50</v>
      </c>
    </row>
    <row r="39" spans="2:2">
      <c r="B39" t="s">
        <v>51</v>
      </c>
    </row>
    <row r="40" spans="2:2">
      <c r="B40" t="s">
        <v>52</v>
      </c>
    </row>
    <row r="41" spans="2:2">
      <c r="B41" t="s">
        <v>53</v>
      </c>
    </row>
    <row r="42" spans="2:2">
      <c r="B42" t="s">
        <v>54</v>
      </c>
    </row>
    <row r="43" spans="2:2">
      <c r="B43" t="s">
        <v>55</v>
      </c>
    </row>
    <row r="44" spans="2:2">
      <c r="B44" t="s">
        <v>56</v>
      </c>
    </row>
    <row r="45" spans="2:2">
      <c r="B45" t="s">
        <v>57</v>
      </c>
    </row>
    <row r="46" spans="2:2">
      <c r="B46" t="s">
        <v>58</v>
      </c>
    </row>
    <row r="47" spans="2:2">
      <c r="B47" t="s">
        <v>59</v>
      </c>
    </row>
    <row r="48" spans="2:2">
      <c r="B48" t="s">
        <v>60</v>
      </c>
    </row>
    <row r="49" spans="2:2">
      <c r="B49" t="s">
        <v>61</v>
      </c>
    </row>
    <row r="50" spans="2:2">
      <c r="B50" t="s">
        <v>62</v>
      </c>
    </row>
    <row r="51" spans="2:2">
      <c r="B51" t="s">
        <v>63</v>
      </c>
    </row>
    <row r="52" spans="2:2">
      <c r="B52" t="s">
        <v>64</v>
      </c>
    </row>
    <row r="53" spans="2:2">
      <c r="B53" t="s">
        <v>65</v>
      </c>
    </row>
    <row r="54" spans="2:2">
      <c r="B54" t="s">
        <v>66</v>
      </c>
    </row>
    <row r="55" spans="2:2">
      <c r="B55" t="s">
        <v>67</v>
      </c>
    </row>
    <row r="56" spans="2:2">
      <c r="B56" t="s">
        <v>180</v>
      </c>
    </row>
    <row r="57" spans="2:2">
      <c r="B57" t="s">
        <v>68</v>
      </c>
    </row>
    <row r="58" spans="2:2">
      <c r="B58" t="s">
        <v>69</v>
      </c>
    </row>
    <row r="59" spans="2:2">
      <c r="B59" t="s">
        <v>70</v>
      </c>
    </row>
    <row r="60" spans="2:2">
      <c r="B60" t="s">
        <v>71</v>
      </c>
    </row>
    <row r="61" spans="2:2">
      <c r="B61" t="s">
        <v>72</v>
      </c>
    </row>
    <row r="62" spans="2:2">
      <c r="B62" t="s">
        <v>73</v>
      </c>
    </row>
    <row r="63" spans="2:2">
      <c r="B63" t="s">
        <v>74</v>
      </c>
    </row>
    <row r="64" spans="2:2">
      <c r="B64" t="s">
        <v>75</v>
      </c>
    </row>
    <row r="65" spans="2:2">
      <c r="B65" t="s">
        <v>76</v>
      </c>
    </row>
    <row r="66" spans="2:2">
      <c r="B66" t="s">
        <v>77</v>
      </c>
    </row>
    <row r="67" spans="2:2">
      <c r="B67" t="s">
        <v>78</v>
      </c>
    </row>
    <row r="68" spans="2:2">
      <c r="B68" t="s">
        <v>79</v>
      </c>
    </row>
    <row r="69" spans="2:2">
      <c r="B69" t="s">
        <v>80</v>
      </c>
    </row>
    <row r="70" spans="2:2">
      <c r="B70" t="s">
        <v>81</v>
      </c>
    </row>
    <row r="71" spans="2:2">
      <c r="B71" t="s">
        <v>82</v>
      </c>
    </row>
    <row r="72" spans="2:2">
      <c r="B72" t="s">
        <v>83</v>
      </c>
    </row>
    <row r="73" spans="2:2">
      <c r="B73" t="s">
        <v>84</v>
      </c>
    </row>
    <row r="74" spans="2:2">
      <c r="B74" t="s">
        <v>85</v>
      </c>
    </row>
    <row r="75" spans="2:2">
      <c r="B75" t="s">
        <v>86</v>
      </c>
    </row>
    <row r="76" spans="2:2">
      <c r="B76" t="s">
        <v>87</v>
      </c>
    </row>
    <row r="77" spans="2:2">
      <c r="B77" t="s">
        <v>88</v>
      </c>
    </row>
    <row r="78" spans="2:2">
      <c r="B78" t="s">
        <v>89</v>
      </c>
    </row>
    <row r="79" spans="2:2">
      <c r="B79" t="s">
        <v>90</v>
      </c>
    </row>
    <row r="80" spans="2:2">
      <c r="B80" t="s">
        <v>91</v>
      </c>
    </row>
    <row r="81" spans="2:2">
      <c r="B81" t="s">
        <v>92</v>
      </c>
    </row>
    <row r="82" spans="2:2">
      <c r="B82" t="s">
        <v>93</v>
      </c>
    </row>
    <row r="83" spans="2:2">
      <c r="B83" t="s">
        <v>94</v>
      </c>
    </row>
    <row r="84" spans="2:2">
      <c r="B84" t="s">
        <v>95</v>
      </c>
    </row>
    <row r="85" spans="2:2">
      <c r="B85" t="s">
        <v>96</v>
      </c>
    </row>
    <row r="86" spans="2:2">
      <c r="B86" t="s">
        <v>97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t_union">
    <tabColor rgb="FFFFCC99"/>
  </sheetPr>
  <dimension ref="A1:O5"/>
  <sheetViews>
    <sheetView showGridLines="0" workbookViewId="0">
      <selection activeCell="D5" sqref="D5"/>
    </sheetView>
  </sheetViews>
  <sheetFormatPr defaultRowHeight="15"/>
  <cols>
    <col min="1" max="1" width="8.5703125" style="3" customWidth="1"/>
    <col min="2" max="2" width="14.7109375" style="3" customWidth="1"/>
    <col min="3" max="3" width="3.28515625" style="3" customWidth="1"/>
    <col min="4" max="16384" width="9.140625" style="3"/>
  </cols>
  <sheetData>
    <row r="1" spans="1:15">
      <c r="B1" s="12"/>
      <c r="C1" s="12"/>
    </row>
    <row r="2" spans="1:15">
      <c r="A2" s="2" t="s">
        <v>141</v>
      </c>
      <c r="D2" s="49"/>
      <c r="E2" s="49"/>
    </row>
    <row r="3" spans="1:15" s="31" customFormat="1" ht="15" customHeight="1">
      <c r="C3" s="32" t="s">
        <v>0</v>
      </c>
      <c r="D3" s="50">
        <v>1</v>
      </c>
      <c r="E3" s="61"/>
    </row>
    <row r="4" spans="1:15">
      <c r="A4" s="77" t="s">
        <v>335</v>
      </c>
    </row>
    <row r="5" spans="1:15" s="39" customFormat="1" ht="15" customHeight="1">
      <c r="C5" s="32"/>
      <c r="D5" s="114"/>
      <c r="E5" s="82"/>
      <c r="F5" s="79"/>
      <c r="G5" s="96">
        <f>SUM(H5:K5)</f>
        <v>0</v>
      </c>
      <c r="H5" s="97"/>
      <c r="I5" s="97"/>
      <c r="J5" s="97"/>
      <c r="K5" s="98"/>
      <c r="L5" s="45"/>
      <c r="M5" s="85"/>
      <c r="N5" s="86"/>
      <c r="O5" s="86"/>
    </row>
  </sheetData>
  <phoneticPr fontId="0" type="noConversion"/>
  <dataValidations xWindow="1172" yWindow="574" count="3">
    <dataValidation type="textLength" operator="lessThanOrEqual" allowBlank="1" showInputMessage="1" showErrorMessage="1" errorTitle="Ошибка" error="Допускается ввод не более 900 символов!" sqref="E3">
      <formula1>900</formula1>
    </dataValidation>
    <dataValidation type="decimal" allowBlank="1" showErrorMessage="1" errorTitle="Ошибка" error="Допускается ввод только действительных чисел!" sqref="G5:K5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5"/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E38"/>
  <sheetViews>
    <sheetView showGridLines="0" showRowColHeaders="0" workbookViewId="0">
      <selection activeCell="L29" sqref="L29"/>
    </sheetView>
  </sheetViews>
  <sheetFormatPr defaultRowHeight="11.25"/>
  <cols>
    <col min="1" max="1" width="25.28515625" bestFit="1" customWidth="1"/>
    <col min="2" max="2" width="21.140625" bestFit="1" customWidth="1"/>
  </cols>
  <sheetData>
    <row r="1" spans="1:3" ht="20.25" customHeight="1">
      <c r="A1" s="83" t="s">
        <v>6</v>
      </c>
      <c r="B1" s="83" t="s">
        <v>7</v>
      </c>
      <c r="C1" s="11"/>
    </row>
    <row r="2" spans="1:3">
      <c r="A2" s="1" t="s">
        <v>8</v>
      </c>
      <c r="B2" s="1" t="s">
        <v>171</v>
      </c>
    </row>
    <row r="3" spans="1:3">
      <c r="A3" s="1" t="s">
        <v>1</v>
      </c>
      <c r="B3" s="1" t="s">
        <v>12</v>
      </c>
    </row>
    <row r="4" spans="1:3">
      <c r="A4" s="1" t="s">
        <v>129</v>
      </c>
      <c r="B4" s="1" t="s">
        <v>124</v>
      </c>
    </row>
    <row r="5" spans="1:3">
      <c r="A5" s="1" t="s">
        <v>170</v>
      </c>
      <c r="B5" s="1" t="s">
        <v>9</v>
      </c>
    </row>
    <row r="6" spans="1:3">
      <c r="A6" s="1" t="s">
        <v>139</v>
      </c>
      <c r="B6" s="1" t="s">
        <v>131</v>
      </c>
    </row>
    <row r="7" spans="1:3">
      <c r="A7" s="1" t="s">
        <v>130</v>
      </c>
      <c r="B7" s="1" t="s">
        <v>172</v>
      </c>
    </row>
    <row r="8" spans="1:3">
      <c r="A8" s="1"/>
      <c r="B8" s="1" t="s">
        <v>173</v>
      </c>
    </row>
    <row r="9" spans="1:3">
      <c r="A9" s="1"/>
      <c r="B9" s="1" t="s">
        <v>103</v>
      </c>
    </row>
    <row r="10" spans="1:3">
      <c r="A10" s="1"/>
      <c r="B10" s="1" t="s">
        <v>125</v>
      </c>
    </row>
    <row r="11" spans="1:3">
      <c r="A11" s="1"/>
      <c r="B11" s="1" t="s">
        <v>185</v>
      </c>
    </row>
    <row r="12" spans="1:3">
      <c r="A12" s="1"/>
      <c r="B12" s="1" t="s">
        <v>186</v>
      </c>
    </row>
    <row r="13" spans="1:3">
      <c r="A13" s="1"/>
      <c r="B13" s="1" t="s">
        <v>10</v>
      </c>
    </row>
    <row r="14" spans="1:3">
      <c r="A14" s="1"/>
      <c r="B14" s="1" t="s">
        <v>339</v>
      </c>
    </row>
    <row r="15" spans="1:3">
      <c r="A15" s="1"/>
      <c r="B15" s="1" t="s">
        <v>11</v>
      </c>
    </row>
    <row r="16" spans="1:3">
      <c r="A16" s="1"/>
      <c r="B16" s="1" t="s">
        <v>340</v>
      </c>
    </row>
    <row r="17" spans="2:2">
      <c r="B17" s="1" t="s">
        <v>187</v>
      </c>
    </row>
    <row r="18" spans="2:2">
      <c r="B18" s="1" t="s">
        <v>13</v>
      </c>
    </row>
    <row r="19" spans="2:2">
      <c r="B19" s="1" t="s">
        <v>341</v>
      </c>
    </row>
    <row r="20" spans="2:2">
      <c r="B20" s="1" t="s">
        <v>188</v>
      </c>
    </row>
    <row r="21" spans="2:2">
      <c r="B21" s="1" t="s">
        <v>14</v>
      </c>
    </row>
    <row r="22" spans="2:2">
      <c r="B22" s="1" t="s">
        <v>2</v>
      </c>
    </row>
    <row r="23" spans="2:2">
      <c r="B23" s="1" t="s">
        <v>126</v>
      </c>
    </row>
    <row r="24" spans="2:2">
      <c r="B24" s="1" t="s">
        <v>342</v>
      </c>
    </row>
    <row r="33" spans="4:5" ht="18.75">
      <c r="D33" s="10"/>
    </row>
    <row r="38" spans="4:5" ht="18.75">
      <c r="E38" s="10"/>
    </row>
  </sheetData>
  <sheetProtection formatColumns="0" formatRows="0"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01">
    <tabColor indexed="47"/>
  </sheetPr>
  <dimension ref="A1"/>
  <sheetViews>
    <sheetView workbookViewId="0">
      <selection activeCell="K31" sqref="K31"/>
    </sheetView>
  </sheetViews>
  <sheetFormatPr defaultRowHeight="11.25"/>
  <cols>
    <col min="1" max="16384" width="9.140625" style="62"/>
  </cols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11">
    <tabColor indexed="47"/>
  </sheetPr>
  <dimension ref="A1"/>
  <sheetViews>
    <sheetView workbookViewId="0">
      <selection activeCell="W44" sqref="W44"/>
    </sheetView>
  </sheetViews>
  <sheetFormatPr defaultRowHeight="11.25"/>
  <sheetData/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>
      <selection activeCell="K17" sqref="K17"/>
    </sheetView>
  </sheetViews>
  <sheetFormatPr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89</vt:i4>
      </vt:variant>
    </vt:vector>
  </HeadingPairs>
  <TitlesOfParts>
    <vt:vector size="10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год</vt:lpstr>
      <vt:lpstr>add_11_1</vt:lpstr>
      <vt:lpstr>add_11_2</vt:lpstr>
      <vt:lpstr>add_11_3</vt:lpstr>
      <vt:lpstr>add_11_4</vt:lpstr>
      <vt:lpstr>add_11_5</vt:lpstr>
      <vt:lpstr>add_11_6</vt:lpstr>
      <vt:lpstr>add_11_7</vt:lpstr>
      <vt:lpstr>add_11_8</vt:lpstr>
      <vt:lpstr>DaNet</vt:lpstr>
      <vt:lpstr>ENTITY_UL</vt:lpstr>
      <vt:lpstr>et_com</vt:lpstr>
      <vt:lpstr>et_org</vt:lpstr>
      <vt:lpstr>kod_stroki_1</vt:lpstr>
      <vt:lpstr>kod_stroki_2</vt:lpstr>
      <vt:lpstr>ks_1730</vt:lpstr>
      <vt:lpstr>ks_1750</vt:lpstr>
      <vt:lpstr>ks_1760</vt:lpstr>
      <vt:lpstr>ks_2020</vt:lpstr>
      <vt:lpstr>ks_2130</vt:lpstr>
      <vt:lpstr>ks_2340</vt:lpstr>
      <vt:lpstr>ks_2450</vt:lpstr>
      <vt:lpstr>ks_2550</vt:lpstr>
      <vt:lpstr>ks_700</vt:lpstr>
      <vt:lpstr>ks_720</vt:lpstr>
      <vt:lpstr>ks_730</vt:lpstr>
      <vt:lpstr>ks_990</vt:lpstr>
      <vt:lpstr>LIST_MR_MO_OKTMO</vt:lpstr>
      <vt:lpstr>logic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MO_LIST_5</vt:lpstr>
      <vt:lpstr>MO_LIST_6</vt:lpstr>
      <vt:lpstr>MO_LIST_7</vt:lpstr>
      <vt:lpstr>MO_LIST_8</vt:lpstr>
      <vt:lpstr>MO_LIST_9</vt:lpstr>
      <vt:lpstr>MONTH</vt:lpstr>
      <vt:lpstr>MR_LIST</vt:lpstr>
      <vt:lpstr>MSG_URL</vt:lpstr>
      <vt:lpstr>OKTMO_TYPE_LIST</vt:lpstr>
      <vt:lpstr>REESTR_ORG_RANGE</vt:lpstr>
      <vt:lpstr>REGION</vt:lpstr>
      <vt:lpstr>start_11_1</vt:lpstr>
      <vt:lpstr>start_11_2</vt:lpstr>
      <vt:lpstr>start_11_3</vt:lpstr>
      <vt:lpstr>start_11_4</vt:lpstr>
      <vt:lpstr>start_11_5</vt:lpstr>
      <vt:lpstr>start_11_6</vt:lpstr>
      <vt:lpstr>start_11_7</vt:lpstr>
      <vt:lpstr>start_11_8</vt:lpstr>
      <vt:lpstr>type_report</vt:lpstr>
      <vt:lpstr>URL_FORMAT</vt:lpstr>
      <vt:lpstr>YEAR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title>
  <dc:subject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subject>
  <dc:creator>--</dc:creator>
  <cp:lastModifiedBy>Krivneva</cp:lastModifiedBy>
  <cp:lastPrinted>2018-09-24T10:29:09Z</cp:lastPrinted>
  <dcterms:created xsi:type="dcterms:W3CDTF">2004-05-21T07:18:45Z</dcterms:created>
  <dcterms:modified xsi:type="dcterms:W3CDTF">2023-05-03T07:35:26Z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46EP.STX</vt:lpwstr>
  </property>
  <property fmtid="{D5CDD505-2E9C-101B-9397-08002B2CF9AE}" pid="4" name="Status">
    <vt:lpwstr>1</vt:lpwstr>
  </property>
  <property fmtid="{D5CDD505-2E9C-101B-9397-08002B2CF9AE}" pid="5" name="CurrentVersion">
    <vt:lpwstr>1.0</vt:lpwstr>
  </property>
  <property fmtid="{D5CDD505-2E9C-101B-9397-08002B2CF9AE}" pid="6" name="TemplateOperationMode">
    <vt:i4>3</vt:i4>
  </property>
  <property fmtid="{D5CDD505-2E9C-101B-9397-08002B2CF9AE}" pid="7" name="Periodicity">
    <vt:lpwstr>MTYR</vt:lpwstr>
  </property>
  <property fmtid="{D5CDD505-2E9C-101B-9397-08002B2CF9AE}" pid="8" name="TypePlanning">
    <vt:lpwstr>FACT</vt:lpwstr>
  </property>
  <property fmtid="{D5CDD505-2E9C-101B-9397-08002B2CF9AE}" pid="9" name="ProtectBook">
    <vt:i4>0</vt:i4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Keywords">
    <vt:lpwstr/>
  </property>
</Properties>
</file>